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Z:\3 - LICITAÇÕES\- 07 - PREGÃO ELETRÔNICO\2026\PE - 002 - 2026 - Obra Execução CRG CPRM Proj. 7872\"/>
    </mc:Choice>
  </mc:AlternateContent>
  <bookViews>
    <workbookView xWindow="0" yWindow="0" windowWidth="20490" windowHeight="6900" tabRatio="738"/>
  </bookViews>
  <sheets>
    <sheet name="Planilha" sheetId="29" r:id="rId1"/>
    <sheet name="Fontes" sheetId="37" r:id="rId2"/>
    <sheet name="CPU" sheetId="4" r:id="rId3"/>
    <sheet name="Mapas" sheetId="20" r:id="rId4"/>
    <sheet name="MapasEqtos" sheetId="38" r:id="rId5"/>
    <sheet name="BDI" sheetId="39" r:id="rId6"/>
    <sheet name="Plan3" sheetId="21" state="hidden" r:id="rId7"/>
    <sheet name="Plan1" sheetId="24" state="hidden" r:id="rId8"/>
  </sheets>
  <definedNames>
    <definedName name="_xlnm._FilterDatabase" localSheetId="2" hidden="1">CPU!$A$7:$M$1254</definedName>
    <definedName name="_xlnm._FilterDatabase" localSheetId="1" hidden="1">Fontes!$A$8:$M$169</definedName>
    <definedName name="_xlnm._FilterDatabase" localSheetId="0" hidden="1">Planilha!$A$9:$Z$848</definedName>
    <definedName name="_SE2">#REF!</definedName>
    <definedName name="_xlnm.Extract">#REF!</definedName>
    <definedName name="_xlnm.Print_Area" localSheetId="2">CPU!$B$2:$J$31</definedName>
    <definedName name="_xlnm.Print_Area" localSheetId="3">Mapas!$A$1:$N$699</definedName>
    <definedName name="_xlnm.Print_Area" localSheetId="0">Planilha!$B$2:$M$862</definedName>
    <definedName name="aux">#REF!</definedName>
    <definedName name="_xlnm.Database">#REF!</definedName>
    <definedName name="çl">#REF!</definedName>
    <definedName name="_xlnm.Criteria">#REF!</definedName>
    <definedName name="dasd">#REF!</definedName>
    <definedName name="DRE">#REF!</definedName>
    <definedName name="DRI">#REF!</definedName>
    <definedName name="dsad">#REF!</definedName>
    <definedName name="_xlnm.Recorder">#REF!</definedName>
    <definedName name="OAE">#REF!</definedName>
    <definedName name="PAV">#REF!</definedName>
    <definedName name="PRE">#REF!</definedName>
    <definedName name="REV">#REF!</definedName>
    <definedName name="SEG">#REF!</definedName>
    <definedName name="SIH">#REF!</definedName>
    <definedName name="SIV">#REF!</definedName>
    <definedName name="_xlnm.Print_Titles" localSheetId="0">Planilha!$1:$8</definedName>
    <definedName name="TRP">#REF!</definedName>
  </definedNames>
  <calcPr calcId="162913"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29" l="1"/>
  <c r="C821" i="29"/>
  <c r="C504" i="29"/>
  <c r="D216" i="37"/>
  <c r="C90" i="29"/>
  <c r="F92" i="37"/>
  <c r="E92" i="37"/>
  <c r="D92" i="37"/>
  <c r="F98" i="37"/>
  <c r="E98" i="37"/>
  <c r="D98" i="37"/>
  <c r="C810" i="29" l="1"/>
  <c r="F145" i="37"/>
  <c r="M252" i="37"/>
  <c r="F252" i="37"/>
  <c r="E252" i="37"/>
  <c r="D252" i="37"/>
  <c r="M251" i="37"/>
  <c r="F251" i="37"/>
  <c r="E251" i="37"/>
  <c r="D251" i="37"/>
  <c r="E232" i="37"/>
  <c r="M250" i="37"/>
  <c r="M249" i="37"/>
  <c r="M248" i="37"/>
  <c r="F250" i="37"/>
  <c r="E250" i="37"/>
  <c r="D250" i="37"/>
  <c r="F249" i="37"/>
  <c r="E249" i="37"/>
  <c r="D249" i="37"/>
  <c r="F248" i="37"/>
  <c r="E248" i="37"/>
  <c r="D248" i="37"/>
  <c r="F247" i="37"/>
  <c r="E247" i="37"/>
  <c r="D247" i="37"/>
  <c r="M247" i="37"/>
  <c r="D312" i="37"/>
  <c r="D311" i="37"/>
  <c r="D310" i="37"/>
  <c r="J203" i="37"/>
  <c r="J204" i="37"/>
  <c r="K204" i="37" s="1"/>
  <c r="J202" i="37"/>
  <c r="K202" i="37" s="1"/>
  <c r="J194" i="37"/>
  <c r="K194" i="37" s="1"/>
  <c r="K193" i="37"/>
  <c r="J193" i="37" s="1"/>
  <c r="J208" i="37"/>
  <c r="J195" i="37"/>
  <c r="K195" i="37" s="1"/>
  <c r="J192" i="37"/>
  <c r="K192" i="37" s="1"/>
  <c r="J207" i="37"/>
  <c r="K206" i="37"/>
  <c r="J206" i="37" s="1"/>
  <c r="J205" i="37"/>
  <c r="J214" i="37"/>
  <c r="K213" i="37"/>
  <c r="J213" i="37" s="1"/>
  <c r="J212" i="37"/>
  <c r="K211" i="37"/>
  <c r="J211" i="37" s="1"/>
  <c r="J210" i="37"/>
  <c r="J209" i="37"/>
  <c r="J221" i="37"/>
  <c r="K221" i="37" s="1"/>
  <c r="J220" i="37"/>
  <c r="K220" i="37" s="1"/>
  <c r="J219" i="37"/>
  <c r="K219" i="37" s="1"/>
  <c r="J218" i="37"/>
  <c r="K218" i="37" s="1"/>
  <c r="J217" i="37"/>
  <c r="J216" i="37"/>
  <c r="K216" i="37" s="1"/>
  <c r="J235" i="37"/>
  <c r="J234" i="37"/>
  <c r="J233" i="37"/>
  <c r="J236" i="37"/>
  <c r="J240" i="37"/>
  <c r="K224" i="37"/>
  <c r="J224" i="37" s="1"/>
  <c r="J223" i="37"/>
  <c r="K222" i="37"/>
  <c r="J222" i="37" s="1"/>
  <c r="J226" i="37"/>
  <c r="J225" i="37"/>
  <c r="J231" i="37"/>
  <c r="J230" i="37"/>
  <c r="J229" i="37"/>
  <c r="J228" i="37"/>
  <c r="J227" i="37"/>
  <c r="J239" i="37"/>
  <c r="J237" i="37"/>
  <c r="K237" i="37" s="1"/>
  <c r="J238" i="37"/>
  <c r="K238" i="37" s="1"/>
  <c r="J215" i="37"/>
  <c r="J200" i="37"/>
  <c r="K200" i="37" s="1"/>
  <c r="J199" i="37"/>
  <c r="K199" i="37" s="1"/>
  <c r="J198" i="37"/>
  <c r="K198" i="37" s="1"/>
  <c r="J190" i="37"/>
  <c r="D190" i="37" s="1"/>
  <c r="J189" i="37"/>
  <c r="D189" i="37" s="1"/>
  <c r="J188" i="37"/>
  <c r="K188" i="37" s="1"/>
  <c r="E188" i="37" s="1"/>
  <c r="J187" i="37"/>
  <c r="J182" i="37"/>
  <c r="K182" i="37" s="1"/>
  <c r="J181" i="37"/>
  <c r="K181" i="37" s="1"/>
  <c r="J180" i="37"/>
  <c r="K180" i="37" s="1"/>
  <c r="J179" i="37"/>
  <c r="K179" i="37" s="1"/>
  <c r="J178" i="37"/>
  <c r="K178" i="37" s="1"/>
  <c r="J184" i="37"/>
  <c r="K184" i="37" s="1"/>
  <c r="J183" i="37"/>
  <c r="K183" i="37" s="1"/>
  <c r="J185" i="37"/>
  <c r="K185" i="37" s="1"/>
  <c r="J191" i="37"/>
  <c r="L191" i="37" s="1"/>
  <c r="J186" i="37"/>
  <c r="J174" i="37"/>
  <c r="K174" i="37" s="1"/>
  <c r="J173" i="37"/>
  <c r="K173" i="37" s="1"/>
  <c r="F187" i="37"/>
  <c r="E187" i="37"/>
  <c r="F186" i="37"/>
  <c r="E186" i="37"/>
  <c r="J338" i="37"/>
  <c r="L328" i="37"/>
  <c r="F328" i="37" s="1"/>
  <c r="D188" i="37" l="1"/>
  <c r="K189" i="37"/>
  <c r="K190" i="37"/>
  <c r="D318" i="37" l="1"/>
  <c r="D317" i="37"/>
  <c r="D316" i="37"/>
  <c r="D315" i="37"/>
  <c r="D314" i="37"/>
  <c r="D313" i="37"/>
  <c r="D72" i="37"/>
  <c r="F72" i="37"/>
  <c r="E72" i="37"/>
  <c r="F71" i="37"/>
  <c r="E71" i="37"/>
  <c r="D71" i="37"/>
  <c r="F70" i="37"/>
  <c r="E70" i="37"/>
  <c r="D70" i="37"/>
  <c r="F69" i="37"/>
  <c r="E69" i="37"/>
  <c r="D69" i="37"/>
  <c r="F60" i="37"/>
  <c r="E60" i="37"/>
  <c r="D60" i="37"/>
  <c r="E67" i="37"/>
  <c r="D546" i="29"/>
  <c r="D471" i="29"/>
  <c r="D470" i="29"/>
  <c r="E189" i="37"/>
  <c r="D187" i="37"/>
  <c r="D186" i="37"/>
  <c r="K196" i="37" l="1"/>
  <c r="J196" i="37" s="1"/>
  <c r="E190" i="37"/>
  <c r="G679" i="29"/>
  <c r="E679" i="29"/>
  <c r="G678" i="29"/>
  <c r="E678" i="29"/>
  <c r="G677" i="29"/>
  <c r="E677" i="29"/>
  <c r="G676" i="29"/>
  <c r="E676" i="29"/>
  <c r="G675" i="29"/>
  <c r="E675" i="29"/>
  <c r="G674" i="29"/>
  <c r="E674" i="29"/>
  <c r="C679" i="29"/>
  <c r="C678" i="29"/>
  <c r="C677" i="29"/>
  <c r="C676" i="29"/>
  <c r="C675" i="29"/>
  <c r="C674" i="29"/>
  <c r="G603" i="29"/>
  <c r="E603" i="29"/>
  <c r="C603" i="29"/>
  <c r="P104" i="38"/>
  <c r="O104" i="38"/>
  <c r="P103" i="38"/>
  <c r="O103" i="38"/>
  <c r="P102" i="38"/>
  <c r="O102" i="38"/>
  <c r="P101" i="38"/>
  <c r="O101" i="38"/>
  <c r="P100" i="38"/>
  <c r="O100" i="38"/>
  <c r="P99" i="38"/>
  <c r="O99" i="38"/>
  <c r="G104" i="38"/>
  <c r="D104" i="38"/>
  <c r="E104" i="38" s="1"/>
  <c r="F104" i="38" s="1"/>
  <c r="G103" i="38"/>
  <c r="D103" i="38"/>
  <c r="E103" i="38" s="1"/>
  <c r="F103" i="38" s="1"/>
  <c r="G102" i="38"/>
  <c r="D102" i="38"/>
  <c r="E102" i="38" s="1"/>
  <c r="F102" i="38" s="1"/>
  <c r="G101" i="38"/>
  <c r="D101" i="38"/>
  <c r="E101" i="38" s="1"/>
  <c r="F101" i="38" s="1"/>
  <c r="G100" i="38"/>
  <c r="D100" i="38"/>
  <c r="E100" i="38" s="1"/>
  <c r="F100" i="38" s="1"/>
  <c r="G99" i="38"/>
  <c r="D99" i="38"/>
  <c r="E99" i="38" s="1"/>
  <c r="F99" i="38" s="1"/>
  <c r="L36" i="38"/>
  <c r="K36" i="38"/>
  <c r="O36" i="38"/>
  <c r="P36" i="38"/>
  <c r="G36" i="38"/>
  <c r="D36" i="38"/>
  <c r="E36" i="38" s="1"/>
  <c r="F36" i="38" s="1"/>
  <c r="G537" i="29" l="1"/>
  <c r="G536" i="29"/>
  <c r="G535" i="29"/>
  <c r="G534" i="29"/>
  <c r="G533" i="29"/>
  <c r="G532" i="29"/>
  <c r="E537" i="29"/>
  <c r="E536" i="29"/>
  <c r="E535" i="29"/>
  <c r="E534" i="29"/>
  <c r="E533" i="29"/>
  <c r="E532" i="29"/>
  <c r="C537" i="29"/>
  <c r="C536" i="29"/>
  <c r="C535" i="29"/>
  <c r="C534" i="29"/>
  <c r="C533" i="29"/>
  <c r="C532" i="29"/>
  <c r="K651" i="37"/>
  <c r="Q683" i="20"/>
  <c r="K656" i="37" s="1"/>
  <c r="P683" i="20"/>
  <c r="J656" i="37" s="1"/>
  <c r="Q682" i="20"/>
  <c r="K655" i="37" s="1"/>
  <c r="P682" i="20"/>
  <c r="J655" i="37" s="1"/>
  <c r="Q681" i="20"/>
  <c r="K654" i="37" s="1"/>
  <c r="P681" i="20"/>
  <c r="J654" i="37" s="1"/>
  <c r="Q680" i="20"/>
  <c r="K653" i="37" s="1"/>
  <c r="P680" i="20"/>
  <c r="J653" i="37" s="1"/>
  <c r="Q679" i="20"/>
  <c r="K652" i="37" s="1"/>
  <c r="P679" i="20"/>
  <c r="J652" i="37" s="1"/>
  <c r="N683" i="20"/>
  <c r="N682" i="20"/>
  <c r="N681" i="20"/>
  <c r="N680" i="20"/>
  <c r="N679" i="20"/>
  <c r="N678" i="20"/>
  <c r="P678" i="20"/>
  <c r="J651" i="37" s="1"/>
  <c r="Q678" i="20"/>
  <c r="G683" i="20"/>
  <c r="D683" i="20"/>
  <c r="E683" i="20" s="1"/>
  <c r="F683" i="20" s="1"/>
  <c r="G682" i="20"/>
  <c r="D682" i="20"/>
  <c r="E682" i="20" s="1"/>
  <c r="F682" i="20" s="1"/>
  <c r="G681" i="20"/>
  <c r="D681" i="20"/>
  <c r="E681" i="20" s="1"/>
  <c r="F681" i="20" s="1"/>
  <c r="G680" i="20"/>
  <c r="D680" i="20"/>
  <c r="E680" i="20" s="1"/>
  <c r="F680" i="20" s="1"/>
  <c r="G679" i="20"/>
  <c r="D679" i="20"/>
  <c r="E679" i="20" s="1"/>
  <c r="F679" i="20" s="1"/>
  <c r="G678" i="20"/>
  <c r="D678" i="20"/>
  <c r="E678" i="20" s="1"/>
  <c r="F678" i="20" s="1"/>
  <c r="M673" i="20"/>
  <c r="L673" i="20"/>
  <c r="K673" i="20"/>
  <c r="I673" i="20"/>
  <c r="G546" i="29"/>
  <c r="E546" i="29"/>
  <c r="C546" i="29"/>
  <c r="F257" i="37"/>
  <c r="D257" i="37"/>
  <c r="E257" i="37"/>
  <c r="G487" i="29"/>
  <c r="E487" i="29"/>
  <c r="C487" i="29"/>
  <c r="M244" i="37"/>
  <c r="F244" i="37"/>
  <c r="E244" i="37"/>
  <c r="D244" i="37"/>
  <c r="E447" i="29"/>
  <c r="G447" i="29"/>
  <c r="C447" i="29"/>
  <c r="M246" i="37"/>
  <c r="F246" i="37"/>
  <c r="E246" i="37"/>
  <c r="D246" i="37"/>
  <c r="G439" i="29"/>
  <c r="E439" i="29"/>
  <c r="C439" i="29"/>
  <c r="C452" i="29"/>
  <c r="G452" i="29"/>
  <c r="E452" i="29"/>
  <c r="G455" i="29"/>
  <c r="E455" i="29"/>
  <c r="D645" i="20"/>
  <c r="E645" i="20" s="1"/>
  <c r="F645" i="20" s="1"/>
  <c r="N645" i="20"/>
  <c r="Q645" i="20" s="1"/>
  <c r="G645" i="20"/>
  <c r="M640" i="20"/>
  <c r="L640" i="20"/>
  <c r="K640" i="20"/>
  <c r="J640" i="20"/>
  <c r="I640" i="20"/>
  <c r="P248" i="38"/>
  <c r="O248" i="38"/>
  <c r="E471" i="29"/>
  <c r="E470" i="29"/>
  <c r="G471" i="29"/>
  <c r="G470" i="29"/>
  <c r="C471" i="29"/>
  <c r="C470" i="29"/>
  <c r="F256" i="37"/>
  <c r="E256" i="37"/>
  <c r="D256" i="37"/>
  <c r="F255" i="37"/>
  <c r="E255" i="37"/>
  <c r="D255" i="37"/>
  <c r="G469" i="29"/>
  <c r="E469" i="29"/>
  <c r="C469" i="29"/>
  <c r="M243" i="37"/>
  <c r="F243" i="37"/>
  <c r="E243" i="37"/>
  <c r="D243" i="37"/>
  <c r="M257" i="37" l="1"/>
  <c r="K546" i="29"/>
  <c r="L546" i="29" s="1"/>
  <c r="K487" i="29"/>
  <c r="L487" i="29" s="1"/>
  <c r="K447" i="29"/>
  <c r="L447" i="29" s="1"/>
  <c r="K470" i="29"/>
  <c r="L470" i="29" s="1"/>
  <c r="K471" i="29"/>
  <c r="L471" i="29" s="1"/>
  <c r="K469" i="29"/>
  <c r="L469" i="29" s="1"/>
  <c r="G441" i="29" l="1"/>
  <c r="E441" i="29"/>
  <c r="C441" i="29"/>
  <c r="F245" i="37"/>
  <c r="E245" i="37"/>
  <c r="D245" i="37"/>
  <c r="M245" i="37"/>
  <c r="K441" i="29" l="1"/>
  <c r="L441" i="29" s="1"/>
  <c r="G429" i="29"/>
  <c r="C429" i="29"/>
  <c r="O249" i="38"/>
  <c r="F240" i="37"/>
  <c r="E464" i="29"/>
  <c r="C464" i="29"/>
  <c r="D240" i="37"/>
  <c r="E240" i="37"/>
  <c r="G445" i="29"/>
  <c r="C445" i="29"/>
  <c r="M239" i="37"/>
  <c r="F239" i="37"/>
  <c r="E239" i="37"/>
  <c r="M318" i="37"/>
  <c r="M317" i="37"/>
  <c r="M316" i="37"/>
  <c r="M315" i="37"/>
  <c r="M314" i="37"/>
  <c r="M313" i="37"/>
  <c r="M312" i="37"/>
  <c r="M311" i="37"/>
  <c r="M310" i="37"/>
  <c r="G404" i="29"/>
  <c r="C404" i="29"/>
  <c r="E404" i="29"/>
  <c r="D418" i="29"/>
  <c r="C418" i="29" s="1"/>
  <c r="D417" i="29"/>
  <c r="C417" i="29" s="1"/>
  <c r="N612" i="20"/>
  <c r="Q612" i="20" s="1"/>
  <c r="G612" i="20"/>
  <c r="D612" i="20"/>
  <c r="E612" i="20" s="1"/>
  <c r="F612" i="20" s="1"/>
  <c r="M607" i="20"/>
  <c r="L607" i="20"/>
  <c r="K607" i="20"/>
  <c r="J607" i="20"/>
  <c r="I607" i="20"/>
  <c r="C521" i="29"/>
  <c r="E521" i="29"/>
  <c r="M267" i="37"/>
  <c r="C506" i="29"/>
  <c r="E524" i="29"/>
  <c r="C524" i="29"/>
  <c r="C501" i="29"/>
  <c r="E523" i="29"/>
  <c r="C523" i="29"/>
  <c r="E517" i="29"/>
  <c r="C517" i="29"/>
  <c r="D432" i="29"/>
  <c r="E432" i="29" s="1"/>
  <c r="D428" i="29"/>
  <c r="E428" i="29" s="1"/>
  <c r="D427" i="29"/>
  <c r="E427" i="29" s="1"/>
  <c r="D426" i="29"/>
  <c r="E426" i="29" s="1"/>
  <c r="D425" i="29"/>
  <c r="E425" i="29" s="1"/>
  <c r="D436" i="29"/>
  <c r="C436" i="29" s="1"/>
  <c r="D435" i="29"/>
  <c r="E435" i="29" s="1"/>
  <c r="C543" i="29"/>
  <c r="E543" i="29"/>
  <c r="C526" i="29"/>
  <c r="E525" i="29"/>
  <c r="C525" i="29"/>
  <c r="C522" i="29"/>
  <c r="E522" i="29"/>
  <c r="E516" i="29"/>
  <c r="E515" i="29"/>
  <c r="C515" i="29"/>
  <c r="P259" i="38"/>
  <c r="O259" i="38"/>
  <c r="P258" i="38"/>
  <c r="O258" i="38"/>
  <c r="P257" i="38"/>
  <c r="O257" i="38"/>
  <c r="P256" i="38"/>
  <c r="O256" i="38"/>
  <c r="P255" i="38"/>
  <c r="O255" i="38"/>
  <c r="P254" i="38"/>
  <c r="O254" i="38"/>
  <c r="P253" i="38"/>
  <c r="O253" i="38"/>
  <c r="P252" i="38"/>
  <c r="O252" i="38"/>
  <c r="P251" i="38"/>
  <c r="O251" i="38"/>
  <c r="P250" i="38"/>
  <c r="O250" i="38"/>
  <c r="P249" i="38"/>
  <c r="P247" i="38"/>
  <c r="O247" i="38"/>
  <c r="P246" i="38"/>
  <c r="O246" i="38"/>
  <c r="P245" i="38"/>
  <c r="O245" i="38"/>
  <c r="P244" i="38"/>
  <c r="O244" i="38"/>
  <c r="P243" i="38"/>
  <c r="O243" i="38"/>
  <c r="P242" i="38"/>
  <c r="O242" i="38"/>
  <c r="P241" i="38"/>
  <c r="O241" i="38"/>
  <c r="P240" i="38"/>
  <c r="O240" i="38"/>
  <c r="P239" i="38"/>
  <c r="O239" i="38"/>
  <c r="P238" i="38"/>
  <c r="O238" i="38"/>
  <c r="P237" i="38"/>
  <c r="O237" i="38"/>
  <c r="P236" i="38"/>
  <c r="O236" i="38"/>
  <c r="P235" i="38"/>
  <c r="O235" i="38"/>
  <c r="P234" i="38"/>
  <c r="O234" i="38"/>
  <c r="P233" i="38"/>
  <c r="O233" i="38"/>
  <c r="P232" i="38"/>
  <c r="O232" i="38"/>
  <c r="P231" i="38"/>
  <c r="O231" i="38"/>
  <c r="P230" i="38"/>
  <c r="O230" i="38"/>
  <c r="P229" i="38"/>
  <c r="O229" i="38"/>
  <c r="P228" i="38"/>
  <c r="O228" i="38"/>
  <c r="P227" i="38"/>
  <c r="O227" i="38"/>
  <c r="P226" i="38"/>
  <c r="O226" i="38"/>
  <c r="P225" i="38"/>
  <c r="O225" i="38"/>
  <c r="P224" i="38"/>
  <c r="O224" i="38"/>
  <c r="P223" i="38"/>
  <c r="O223" i="38"/>
  <c r="P222" i="38"/>
  <c r="O222" i="38"/>
  <c r="P221" i="38"/>
  <c r="O221" i="38"/>
  <c r="P220" i="38"/>
  <c r="O220" i="38"/>
  <c r="P219" i="38"/>
  <c r="O219" i="38"/>
  <c r="P218" i="38"/>
  <c r="O218" i="38"/>
  <c r="P217" i="38"/>
  <c r="O217" i="38"/>
  <c r="P216" i="38"/>
  <c r="O216" i="38"/>
  <c r="P215" i="38"/>
  <c r="O215" i="38"/>
  <c r="P214" i="38"/>
  <c r="O214" i="38"/>
  <c r="P213" i="38"/>
  <c r="O213" i="38"/>
  <c r="P212" i="38"/>
  <c r="O212" i="38"/>
  <c r="P211" i="38"/>
  <c r="O211" i="38"/>
  <c r="P210" i="38"/>
  <c r="O210" i="38"/>
  <c r="P209" i="38"/>
  <c r="O209" i="38"/>
  <c r="P208" i="38"/>
  <c r="O208" i="38"/>
  <c r="P207" i="38"/>
  <c r="O207" i="38"/>
  <c r="P206" i="38"/>
  <c r="O206" i="38"/>
  <c r="P205" i="38"/>
  <c r="O205" i="38"/>
  <c r="P204" i="38"/>
  <c r="O204" i="38"/>
  <c r="P203" i="38"/>
  <c r="O203" i="38"/>
  <c r="P202" i="38"/>
  <c r="O202" i="38"/>
  <c r="P201" i="38"/>
  <c r="O201" i="38"/>
  <c r="P200" i="38"/>
  <c r="O200" i="38"/>
  <c r="P199" i="38"/>
  <c r="O199" i="38"/>
  <c r="P198" i="38"/>
  <c r="O198" i="38"/>
  <c r="P197" i="38"/>
  <c r="O197" i="38"/>
  <c r="P196" i="38"/>
  <c r="O196" i="38"/>
  <c r="P195" i="38"/>
  <c r="O195" i="38"/>
  <c r="P194" i="38"/>
  <c r="O194" i="38"/>
  <c r="P193" i="38"/>
  <c r="O193" i="38"/>
  <c r="P192" i="38"/>
  <c r="O192" i="38"/>
  <c r="P191" i="38"/>
  <c r="O191" i="38"/>
  <c r="P190" i="38"/>
  <c r="O190" i="38"/>
  <c r="P189" i="38"/>
  <c r="O189" i="38"/>
  <c r="P188" i="38"/>
  <c r="O188" i="38"/>
  <c r="P187" i="38"/>
  <c r="O187" i="38"/>
  <c r="P186" i="38"/>
  <c r="O186" i="38"/>
  <c r="P185" i="38"/>
  <c r="O185" i="38"/>
  <c r="P184" i="38"/>
  <c r="O184" i="38"/>
  <c r="P183" i="38"/>
  <c r="O183" i="38"/>
  <c r="P182" i="38"/>
  <c r="O182" i="38"/>
  <c r="P181" i="38"/>
  <c r="O181" i="38"/>
  <c r="P180" i="38"/>
  <c r="O180" i="38"/>
  <c r="P179" i="38"/>
  <c r="O179" i="38"/>
  <c r="P178" i="38"/>
  <c r="O178" i="38"/>
  <c r="P177" i="38"/>
  <c r="O177" i="38"/>
  <c r="P176" i="38"/>
  <c r="O176" i="38"/>
  <c r="P175" i="38"/>
  <c r="O175" i="38"/>
  <c r="P174" i="38"/>
  <c r="O174" i="38"/>
  <c r="P173" i="38"/>
  <c r="O173" i="38"/>
  <c r="P172" i="38"/>
  <c r="O172" i="38"/>
  <c r="P171" i="38"/>
  <c r="O171" i="38"/>
  <c r="P170" i="38"/>
  <c r="O170" i="38"/>
  <c r="P169" i="38"/>
  <c r="O169" i="38"/>
  <c r="P168" i="38"/>
  <c r="O168" i="38"/>
  <c r="P167" i="38"/>
  <c r="O167" i="38"/>
  <c r="P166" i="38"/>
  <c r="O166" i="38"/>
  <c r="P165" i="38"/>
  <c r="O165" i="38"/>
  <c r="P164" i="38"/>
  <c r="O164" i="38"/>
  <c r="P163" i="38"/>
  <c r="O163" i="38"/>
  <c r="P162" i="38"/>
  <c r="O162" i="38"/>
  <c r="P161" i="38"/>
  <c r="O161" i="38"/>
  <c r="P160" i="38"/>
  <c r="O160" i="38"/>
  <c r="P159" i="38"/>
  <c r="O159" i="38"/>
  <c r="P158" i="38"/>
  <c r="O158" i="38"/>
  <c r="P157" i="38"/>
  <c r="O157" i="38"/>
  <c r="P156" i="38"/>
  <c r="O156" i="38"/>
  <c r="P155" i="38"/>
  <c r="O155" i="38"/>
  <c r="P154" i="38"/>
  <c r="O154" i="38"/>
  <c r="P153" i="38"/>
  <c r="O153" i="38"/>
  <c r="P152" i="38"/>
  <c r="O152" i="38"/>
  <c r="P151" i="38"/>
  <c r="O151" i="38"/>
  <c r="P150" i="38"/>
  <c r="O150" i="38"/>
  <c r="P149" i="38"/>
  <c r="O149" i="38"/>
  <c r="P148" i="38"/>
  <c r="O148" i="38"/>
  <c r="P147" i="38"/>
  <c r="O147" i="38"/>
  <c r="P146" i="38"/>
  <c r="O146" i="38"/>
  <c r="P145" i="38"/>
  <c r="O145" i="38"/>
  <c r="P144" i="38"/>
  <c r="O144" i="38"/>
  <c r="P143" i="38"/>
  <c r="O143" i="38"/>
  <c r="P142" i="38"/>
  <c r="O142" i="38"/>
  <c r="P141" i="38"/>
  <c r="O141" i="38"/>
  <c r="P260" i="38"/>
  <c r="O260" i="38"/>
  <c r="P261" i="38"/>
  <c r="K261" i="38"/>
  <c r="O261" i="38" s="1"/>
  <c r="M240" i="37" l="1"/>
  <c r="D239" i="37"/>
  <c r="K445" i="29" s="1"/>
  <c r="L445" i="29" s="1"/>
  <c r="G418" i="29"/>
  <c r="E417" i="29"/>
  <c r="E418" i="29"/>
  <c r="C428" i="29"/>
  <c r="G417" i="29"/>
  <c r="C435" i="29"/>
  <c r="C426" i="29"/>
  <c r="C427" i="29"/>
  <c r="C432" i="29"/>
  <c r="C425" i="29"/>
  <c r="E436" i="29"/>
  <c r="F672" i="37"/>
  <c r="F671" i="37"/>
  <c r="F670" i="37"/>
  <c r="F669" i="37"/>
  <c r="F668" i="37"/>
  <c r="F667" i="37"/>
  <c r="F666" i="37"/>
  <c r="F665" i="37"/>
  <c r="F664" i="37"/>
  <c r="F663" i="37"/>
  <c r="F662" i="37"/>
  <c r="F661" i="37"/>
  <c r="F660" i="37"/>
  <c r="F659" i="37"/>
  <c r="F658" i="37"/>
  <c r="F657" i="37"/>
  <c r="F656" i="37"/>
  <c r="F655" i="37"/>
  <c r="F654" i="37"/>
  <c r="F653" i="37"/>
  <c r="F652" i="37"/>
  <c r="F651" i="37"/>
  <c r="F650" i="37"/>
  <c r="F649" i="37"/>
  <c r="F648" i="37"/>
  <c r="F647" i="37"/>
  <c r="F646" i="37"/>
  <c r="F645" i="37"/>
  <c r="F644" i="37"/>
  <c r="F643" i="37"/>
  <c r="F642" i="37"/>
  <c r="F641" i="37"/>
  <c r="F640" i="37"/>
  <c r="F639" i="37"/>
  <c r="F638" i="37"/>
  <c r="F637" i="37"/>
  <c r="F636" i="37"/>
  <c r="F635" i="37"/>
  <c r="F634" i="37"/>
  <c r="F633" i="37"/>
  <c r="F632" i="37"/>
  <c r="F631" i="37"/>
  <c r="F630" i="37"/>
  <c r="F629" i="37"/>
  <c r="F628" i="37"/>
  <c r="F627" i="37"/>
  <c r="F626" i="37"/>
  <c r="F625" i="37"/>
  <c r="F624" i="37"/>
  <c r="F623" i="37"/>
  <c r="F622" i="37"/>
  <c r="F621" i="37"/>
  <c r="F620" i="37"/>
  <c r="F619" i="37"/>
  <c r="F618" i="37"/>
  <c r="F617" i="37"/>
  <c r="F616" i="37"/>
  <c r="F615" i="37"/>
  <c r="F614" i="37"/>
  <c r="F613" i="37"/>
  <c r="F612" i="37"/>
  <c r="F611" i="37"/>
  <c r="F610" i="37"/>
  <c r="F609" i="37"/>
  <c r="J672" i="37"/>
  <c r="D672" i="37" s="1"/>
  <c r="K672" i="37"/>
  <c r="E672" i="37" s="1"/>
  <c r="J671" i="37"/>
  <c r="D671" i="37" s="1"/>
  <c r="K671" i="37"/>
  <c r="E671" i="37" s="1"/>
  <c r="J670" i="37"/>
  <c r="D670" i="37" s="1"/>
  <c r="K670" i="37"/>
  <c r="E670" i="37" s="1"/>
  <c r="J669" i="37"/>
  <c r="D669" i="37" s="1"/>
  <c r="P322" i="38"/>
  <c r="J668" i="37" s="1"/>
  <c r="D668" i="37" s="1"/>
  <c r="O322" i="38"/>
  <c r="K668" i="37" s="1"/>
  <c r="E668" i="37" s="1"/>
  <c r="G322" i="38"/>
  <c r="D322" i="38"/>
  <c r="E322" i="38" s="1"/>
  <c r="F322" i="38" s="1"/>
  <c r="P321" i="38"/>
  <c r="J667" i="37" s="1"/>
  <c r="D667" i="37" s="1"/>
  <c r="O321" i="38"/>
  <c r="G321" i="38"/>
  <c r="D321" i="38"/>
  <c r="E321" i="38" s="1"/>
  <c r="F321" i="38" s="1"/>
  <c r="P320" i="38"/>
  <c r="J666" i="37" s="1"/>
  <c r="D666" i="37" s="1"/>
  <c r="O320" i="38"/>
  <c r="K666" i="37" s="1"/>
  <c r="E666" i="37" s="1"/>
  <c r="G320" i="38"/>
  <c r="D320" i="38"/>
  <c r="E320" i="38" s="1"/>
  <c r="F320" i="38" s="1"/>
  <c r="P319" i="38"/>
  <c r="J665" i="37" s="1"/>
  <c r="D665" i="37" s="1"/>
  <c r="O319" i="38"/>
  <c r="G319" i="38"/>
  <c r="D319" i="38"/>
  <c r="E319" i="38" s="1"/>
  <c r="F319" i="38" s="1"/>
  <c r="P318" i="38"/>
  <c r="O318" i="38"/>
  <c r="G318" i="38"/>
  <c r="D318" i="38"/>
  <c r="E318" i="38" s="1"/>
  <c r="F318" i="38" s="1"/>
  <c r="P317" i="38"/>
  <c r="J663" i="37" s="1"/>
  <c r="D663" i="37" s="1"/>
  <c r="O317" i="38"/>
  <c r="G317" i="38"/>
  <c r="D317" i="38"/>
  <c r="E317" i="38" s="1"/>
  <c r="F317" i="38" s="1"/>
  <c r="P316" i="38"/>
  <c r="O316" i="38"/>
  <c r="G316" i="38"/>
  <c r="D316" i="38"/>
  <c r="E316" i="38" s="1"/>
  <c r="F316" i="38" s="1"/>
  <c r="P315" i="38"/>
  <c r="J661" i="37" s="1"/>
  <c r="D661" i="37" s="1"/>
  <c r="O315" i="38"/>
  <c r="G315" i="38"/>
  <c r="D315" i="38"/>
  <c r="E315" i="38" s="1"/>
  <c r="F315" i="38" s="1"/>
  <c r="P314" i="38"/>
  <c r="O314" i="38"/>
  <c r="G314" i="38"/>
  <c r="D314" i="38"/>
  <c r="E314" i="38" s="1"/>
  <c r="F314" i="38" s="1"/>
  <c r="P313" i="38"/>
  <c r="J659" i="37" s="1"/>
  <c r="D659" i="37" s="1"/>
  <c r="O313" i="38"/>
  <c r="G313" i="38"/>
  <c r="D313" i="38"/>
  <c r="E313" i="38" s="1"/>
  <c r="F313" i="38" s="1"/>
  <c r="P312" i="38"/>
  <c r="O312" i="38"/>
  <c r="G312" i="38"/>
  <c r="D312" i="38"/>
  <c r="E312" i="38" s="1"/>
  <c r="F312" i="38" s="1"/>
  <c r="P311" i="38"/>
  <c r="J657" i="37" s="1"/>
  <c r="D657" i="37" s="1"/>
  <c r="O311" i="38"/>
  <c r="G311" i="38"/>
  <c r="D311" i="38"/>
  <c r="E311" i="38" s="1"/>
  <c r="F311" i="38" s="1"/>
  <c r="P310" i="38"/>
  <c r="D653" i="37" s="1"/>
  <c r="O310" i="38"/>
  <c r="E653" i="37" s="1"/>
  <c r="G310" i="38"/>
  <c r="D310" i="38"/>
  <c r="E310" i="38" s="1"/>
  <c r="F310" i="38" s="1"/>
  <c r="P309" i="38"/>
  <c r="D652" i="37" s="1"/>
  <c r="O309" i="38"/>
  <c r="E652" i="37" s="1"/>
  <c r="G309" i="38"/>
  <c r="D309" i="38"/>
  <c r="E309" i="38" s="1"/>
  <c r="F309" i="38" s="1"/>
  <c r="P308" i="38"/>
  <c r="D651" i="37" s="1"/>
  <c r="O308" i="38"/>
  <c r="E651" i="37" s="1"/>
  <c r="G308" i="38"/>
  <c r="D308" i="38"/>
  <c r="E308" i="38" s="1"/>
  <c r="F308" i="38" s="1"/>
  <c r="P307" i="38"/>
  <c r="J650" i="37" s="1"/>
  <c r="D650" i="37" s="1"/>
  <c r="O307" i="38"/>
  <c r="K650" i="37" s="1"/>
  <c r="E650" i="37" s="1"/>
  <c r="G307" i="38"/>
  <c r="D307" i="38"/>
  <c r="E307" i="38" s="1"/>
  <c r="F307" i="38" s="1"/>
  <c r="P306" i="38"/>
  <c r="J649" i="37" s="1"/>
  <c r="D649" i="37" s="1"/>
  <c r="O306" i="38"/>
  <c r="K649" i="37" s="1"/>
  <c r="E649" i="37" s="1"/>
  <c r="G306" i="38"/>
  <c r="D306" i="38"/>
  <c r="E306" i="38" s="1"/>
  <c r="F306" i="38" s="1"/>
  <c r="P305" i="38"/>
  <c r="J648" i="37" s="1"/>
  <c r="D648" i="37" s="1"/>
  <c r="O305" i="38"/>
  <c r="K648" i="37" s="1"/>
  <c r="E648" i="37" s="1"/>
  <c r="G305" i="38"/>
  <c r="D305" i="38"/>
  <c r="E305" i="38" s="1"/>
  <c r="F305" i="38" s="1"/>
  <c r="P304" i="38"/>
  <c r="J647" i="37" s="1"/>
  <c r="D647" i="37" s="1"/>
  <c r="O304" i="38"/>
  <c r="K647" i="37" s="1"/>
  <c r="E647" i="37" s="1"/>
  <c r="G304" i="38"/>
  <c r="D304" i="38"/>
  <c r="E304" i="38" s="1"/>
  <c r="F304" i="38" s="1"/>
  <c r="P303" i="38"/>
  <c r="J646" i="37" s="1"/>
  <c r="D646" i="37" s="1"/>
  <c r="O303" i="38"/>
  <c r="K646" i="37" s="1"/>
  <c r="E646" i="37" s="1"/>
  <c r="G303" i="38"/>
  <c r="D303" i="38"/>
  <c r="E303" i="38" s="1"/>
  <c r="F303" i="38" s="1"/>
  <c r="P302" i="38"/>
  <c r="J645" i="37" s="1"/>
  <c r="D645" i="37" s="1"/>
  <c r="O302" i="38"/>
  <c r="K645" i="37" s="1"/>
  <c r="E645" i="37" s="1"/>
  <c r="G302" i="38"/>
  <c r="D302" i="38"/>
  <c r="E302" i="38" s="1"/>
  <c r="F302" i="38" s="1"/>
  <c r="P301" i="38"/>
  <c r="J644" i="37" s="1"/>
  <c r="D644" i="37" s="1"/>
  <c r="O301" i="38"/>
  <c r="K644" i="37" s="1"/>
  <c r="E644" i="37" s="1"/>
  <c r="G301" i="38"/>
  <c r="D301" i="38"/>
  <c r="E301" i="38" s="1"/>
  <c r="F301" i="38" s="1"/>
  <c r="P300" i="38"/>
  <c r="J643" i="37" s="1"/>
  <c r="D643" i="37" s="1"/>
  <c r="O300" i="38"/>
  <c r="K643" i="37" s="1"/>
  <c r="E643" i="37" s="1"/>
  <c r="G300" i="38"/>
  <c r="D300" i="38"/>
  <c r="E300" i="38" s="1"/>
  <c r="F300" i="38" s="1"/>
  <c r="P299" i="38"/>
  <c r="J642" i="37" s="1"/>
  <c r="D642" i="37" s="1"/>
  <c r="O299" i="38"/>
  <c r="K642" i="37" s="1"/>
  <c r="E642" i="37" s="1"/>
  <c r="G299" i="38"/>
  <c r="D299" i="38"/>
  <c r="E299" i="38" s="1"/>
  <c r="F299" i="38" s="1"/>
  <c r="P298" i="38"/>
  <c r="J641" i="37" s="1"/>
  <c r="D641" i="37" s="1"/>
  <c r="O298" i="38"/>
  <c r="K641" i="37" s="1"/>
  <c r="E641" i="37" s="1"/>
  <c r="G298" i="38"/>
  <c r="D298" i="38"/>
  <c r="E298" i="38" s="1"/>
  <c r="F298" i="38" s="1"/>
  <c r="P297" i="38"/>
  <c r="J640" i="37" s="1"/>
  <c r="D640" i="37" s="1"/>
  <c r="O297" i="38"/>
  <c r="K640" i="37" s="1"/>
  <c r="E640" i="37" s="1"/>
  <c r="G297" i="38"/>
  <c r="D297" i="38"/>
  <c r="E297" i="38" s="1"/>
  <c r="F297" i="38" s="1"/>
  <c r="P296" i="38"/>
  <c r="J639" i="37" s="1"/>
  <c r="D639" i="37" s="1"/>
  <c r="O296" i="38"/>
  <c r="K639" i="37" s="1"/>
  <c r="E639" i="37" s="1"/>
  <c r="G296" i="38"/>
  <c r="D296" i="38"/>
  <c r="E296" i="38" s="1"/>
  <c r="F296" i="38" s="1"/>
  <c r="P295" i="38"/>
  <c r="J638" i="37" s="1"/>
  <c r="D638" i="37" s="1"/>
  <c r="O295" i="38"/>
  <c r="K638" i="37" s="1"/>
  <c r="E638" i="37" s="1"/>
  <c r="G295" i="38"/>
  <c r="D295" i="38"/>
  <c r="E295" i="38" s="1"/>
  <c r="F295" i="38" s="1"/>
  <c r="P294" i="38"/>
  <c r="J637" i="37" s="1"/>
  <c r="D637" i="37" s="1"/>
  <c r="O294" i="38"/>
  <c r="K637" i="37" s="1"/>
  <c r="E637" i="37" s="1"/>
  <c r="G294" i="38"/>
  <c r="D294" i="38"/>
  <c r="E294" i="38" s="1"/>
  <c r="F294" i="38" s="1"/>
  <c r="P293" i="38"/>
  <c r="J636" i="37" s="1"/>
  <c r="D636" i="37" s="1"/>
  <c r="O293" i="38"/>
  <c r="K636" i="37" s="1"/>
  <c r="E636" i="37" s="1"/>
  <c r="G293" i="38"/>
  <c r="D293" i="38"/>
  <c r="E293" i="38" s="1"/>
  <c r="F293" i="38" s="1"/>
  <c r="P292" i="38"/>
  <c r="J635" i="37" s="1"/>
  <c r="D635" i="37" s="1"/>
  <c r="O292" i="38"/>
  <c r="K635" i="37" s="1"/>
  <c r="E635" i="37" s="1"/>
  <c r="G292" i="38"/>
  <c r="D292" i="38"/>
  <c r="E292" i="38" s="1"/>
  <c r="F292" i="38" s="1"/>
  <c r="P291" i="38"/>
  <c r="J634" i="37" s="1"/>
  <c r="D634" i="37" s="1"/>
  <c r="O291" i="38"/>
  <c r="K634" i="37" s="1"/>
  <c r="E634" i="37" s="1"/>
  <c r="G291" i="38"/>
  <c r="D291" i="38"/>
  <c r="E291" i="38" s="1"/>
  <c r="F291" i="38" s="1"/>
  <c r="P290" i="38"/>
  <c r="J633" i="37" s="1"/>
  <c r="D633" i="37" s="1"/>
  <c r="O290" i="38"/>
  <c r="K633" i="37" s="1"/>
  <c r="E633" i="37" s="1"/>
  <c r="G290" i="38"/>
  <c r="D290" i="38"/>
  <c r="E290" i="38" s="1"/>
  <c r="F290" i="38" s="1"/>
  <c r="P289" i="38"/>
  <c r="J632" i="37" s="1"/>
  <c r="D632" i="37" s="1"/>
  <c r="O289" i="38"/>
  <c r="K632" i="37" s="1"/>
  <c r="E632" i="37" s="1"/>
  <c r="G289" i="38"/>
  <c r="D289" i="38"/>
  <c r="E289" i="38" s="1"/>
  <c r="F289" i="38" s="1"/>
  <c r="P288" i="38"/>
  <c r="J631" i="37" s="1"/>
  <c r="D631" i="37" s="1"/>
  <c r="O288" i="38"/>
  <c r="K631" i="37" s="1"/>
  <c r="E631" i="37" s="1"/>
  <c r="G288" i="38"/>
  <c r="D288" i="38"/>
  <c r="E288" i="38" s="1"/>
  <c r="F288" i="38" s="1"/>
  <c r="P287" i="38"/>
  <c r="J630" i="37" s="1"/>
  <c r="D630" i="37" s="1"/>
  <c r="O287" i="38"/>
  <c r="K630" i="37" s="1"/>
  <c r="E630" i="37" s="1"/>
  <c r="G287" i="38"/>
  <c r="D287" i="38"/>
  <c r="E287" i="38" s="1"/>
  <c r="F287" i="38" s="1"/>
  <c r="P286" i="38"/>
  <c r="J629" i="37" s="1"/>
  <c r="D629" i="37" s="1"/>
  <c r="O286" i="38"/>
  <c r="K629" i="37" s="1"/>
  <c r="E629" i="37" s="1"/>
  <c r="G286" i="38"/>
  <c r="D286" i="38"/>
  <c r="E286" i="38" s="1"/>
  <c r="F286" i="38" s="1"/>
  <c r="P285" i="38"/>
  <c r="J628" i="37" s="1"/>
  <c r="D628" i="37" s="1"/>
  <c r="O285" i="38"/>
  <c r="K628" i="37" s="1"/>
  <c r="E628" i="37" s="1"/>
  <c r="G285" i="38"/>
  <c r="D285" i="38"/>
  <c r="E285" i="38" s="1"/>
  <c r="F285" i="38" s="1"/>
  <c r="P284" i="38"/>
  <c r="J627" i="37" s="1"/>
  <c r="D627" i="37" s="1"/>
  <c r="O284" i="38"/>
  <c r="K627" i="37" s="1"/>
  <c r="E627" i="37" s="1"/>
  <c r="G284" i="38"/>
  <c r="D284" i="38"/>
  <c r="E284" i="38" s="1"/>
  <c r="F284" i="38" s="1"/>
  <c r="P283" i="38"/>
  <c r="J626" i="37" s="1"/>
  <c r="D626" i="37" s="1"/>
  <c r="O283" i="38"/>
  <c r="K626" i="37" s="1"/>
  <c r="E626" i="37" s="1"/>
  <c r="G283" i="38"/>
  <c r="D283" i="38"/>
  <c r="E283" i="38" s="1"/>
  <c r="F283" i="38" s="1"/>
  <c r="P282" i="38"/>
  <c r="J625" i="37" s="1"/>
  <c r="D625" i="37" s="1"/>
  <c r="O282" i="38"/>
  <c r="K625" i="37" s="1"/>
  <c r="E625" i="37" s="1"/>
  <c r="G282" i="38"/>
  <c r="D282" i="38"/>
  <c r="E282" i="38" s="1"/>
  <c r="F282" i="38" s="1"/>
  <c r="P281" i="38"/>
  <c r="J624" i="37" s="1"/>
  <c r="D624" i="37" s="1"/>
  <c r="O281" i="38"/>
  <c r="K624" i="37" s="1"/>
  <c r="E624" i="37" s="1"/>
  <c r="G281" i="38"/>
  <c r="D281" i="38"/>
  <c r="E281" i="38" s="1"/>
  <c r="F281" i="38" s="1"/>
  <c r="P280" i="38"/>
  <c r="J623" i="37" s="1"/>
  <c r="D623" i="37" s="1"/>
  <c r="O280" i="38"/>
  <c r="K623" i="37" s="1"/>
  <c r="E623" i="37" s="1"/>
  <c r="G280" i="38"/>
  <c r="D280" i="38"/>
  <c r="E280" i="38" s="1"/>
  <c r="F280" i="38" s="1"/>
  <c r="P279" i="38"/>
  <c r="J622" i="37" s="1"/>
  <c r="D622" i="37" s="1"/>
  <c r="O279" i="38"/>
  <c r="K622" i="37" s="1"/>
  <c r="E622" i="37" s="1"/>
  <c r="G279" i="38"/>
  <c r="D279" i="38"/>
  <c r="E279" i="38" s="1"/>
  <c r="F279" i="38" s="1"/>
  <c r="P278" i="38"/>
  <c r="J621" i="37" s="1"/>
  <c r="D621" i="37" s="1"/>
  <c r="O278" i="38"/>
  <c r="K621" i="37" s="1"/>
  <c r="E621" i="37" s="1"/>
  <c r="G278" i="38"/>
  <c r="D278" i="38"/>
  <c r="E278" i="38" s="1"/>
  <c r="F278" i="38" s="1"/>
  <c r="P277" i="38"/>
  <c r="J620" i="37" s="1"/>
  <c r="D620" i="37" s="1"/>
  <c r="O277" i="38"/>
  <c r="K620" i="37" s="1"/>
  <c r="E620" i="37" s="1"/>
  <c r="G277" i="38"/>
  <c r="D277" i="38"/>
  <c r="E277" i="38" s="1"/>
  <c r="F277" i="38" s="1"/>
  <c r="P276" i="38"/>
  <c r="J619" i="37" s="1"/>
  <c r="D619" i="37" s="1"/>
  <c r="O276" i="38"/>
  <c r="K619" i="37" s="1"/>
  <c r="E619" i="37" s="1"/>
  <c r="G276" i="38"/>
  <c r="D276" i="38"/>
  <c r="E276" i="38" s="1"/>
  <c r="F276" i="38" s="1"/>
  <c r="P275" i="38"/>
  <c r="J618" i="37" s="1"/>
  <c r="D618" i="37" s="1"/>
  <c r="O275" i="38"/>
  <c r="K618" i="37" s="1"/>
  <c r="E618" i="37" s="1"/>
  <c r="G275" i="38"/>
  <c r="D275" i="38"/>
  <c r="E275" i="38" s="1"/>
  <c r="F275" i="38" s="1"/>
  <c r="P274" i="38"/>
  <c r="J617" i="37" s="1"/>
  <c r="D617" i="37" s="1"/>
  <c r="O274" i="38"/>
  <c r="K617" i="37" s="1"/>
  <c r="E617" i="37" s="1"/>
  <c r="G274" i="38"/>
  <c r="D274" i="38"/>
  <c r="E274" i="38" s="1"/>
  <c r="F274" i="38" s="1"/>
  <c r="P273" i="38"/>
  <c r="J616" i="37" s="1"/>
  <c r="D616" i="37" s="1"/>
  <c r="O273" i="38"/>
  <c r="K616" i="37" s="1"/>
  <c r="E616" i="37" s="1"/>
  <c r="G273" i="38"/>
  <c r="D273" i="38"/>
  <c r="E273" i="38" s="1"/>
  <c r="F273" i="38" s="1"/>
  <c r="P272" i="38"/>
  <c r="J615" i="37" s="1"/>
  <c r="D615" i="37" s="1"/>
  <c r="O272" i="38"/>
  <c r="K615" i="37" s="1"/>
  <c r="E615" i="37" s="1"/>
  <c r="G272" i="38"/>
  <c r="D272" i="38"/>
  <c r="E272" i="38" s="1"/>
  <c r="F272" i="38" s="1"/>
  <c r="P271" i="38"/>
  <c r="J614" i="37" s="1"/>
  <c r="D614" i="37" s="1"/>
  <c r="O271" i="38"/>
  <c r="K614" i="37" s="1"/>
  <c r="E614" i="37" s="1"/>
  <c r="G271" i="38"/>
  <c r="D271" i="38"/>
  <c r="E271" i="38" s="1"/>
  <c r="F271" i="38" s="1"/>
  <c r="P270" i="38"/>
  <c r="J613" i="37" s="1"/>
  <c r="D613" i="37" s="1"/>
  <c r="O270" i="38"/>
  <c r="K613" i="37" s="1"/>
  <c r="E613" i="37" s="1"/>
  <c r="G270" i="38"/>
  <c r="D270" i="38"/>
  <c r="E270" i="38" s="1"/>
  <c r="F270" i="38" s="1"/>
  <c r="P269" i="38"/>
  <c r="J612" i="37" s="1"/>
  <c r="D612" i="37" s="1"/>
  <c r="O269" i="38"/>
  <c r="K612" i="37" s="1"/>
  <c r="E612" i="37" s="1"/>
  <c r="G269" i="38"/>
  <c r="D269" i="38"/>
  <c r="E269" i="38" s="1"/>
  <c r="F269" i="38" s="1"/>
  <c r="P268" i="38"/>
  <c r="J611" i="37" s="1"/>
  <c r="D611" i="37" s="1"/>
  <c r="O268" i="38"/>
  <c r="K611" i="37" s="1"/>
  <c r="E611" i="37" s="1"/>
  <c r="G268" i="38"/>
  <c r="D268" i="38"/>
  <c r="E268" i="38" s="1"/>
  <c r="F268" i="38" s="1"/>
  <c r="P267" i="38"/>
  <c r="J610" i="37" s="1"/>
  <c r="D610" i="37" s="1"/>
  <c r="O267" i="38"/>
  <c r="K610" i="37" s="1"/>
  <c r="E610" i="37" s="1"/>
  <c r="G267" i="38"/>
  <c r="D267" i="38"/>
  <c r="E267" i="38" s="1"/>
  <c r="F267" i="38" s="1"/>
  <c r="P266" i="38"/>
  <c r="J609" i="37" s="1"/>
  <c r="D609" i="37" s="1"/>
  <c r="O266" i="38"/>
  <c r="K609" i="37" s="1"/>
  <c r="E609" i="37" s="1"/>
  <c r="G266" i="38"/>
  <c r="D266" i="38"/>
  <c r="E266" i="38" s="1"/>
  <c r="F266" i="38" s="1"/>
  <c r="P265" i="38"/>
  <c r="O265" i="38"/>
  <c r="G265" i="38"/>
  <c r="D265" i="38"/>
  <c r="E265" i="38" s="1"/>
  <c r="F265" i="38" s="1"/>
  <c r="P264" i="38"/>
  <c r="O264" i="38"/>
  <c r="G264" i="38"/>
  <c r="D264" i="38"/>
  <c r="E264" i="38" s="1"/>
  <c r="F264" i="38" s="1"/>
  <c r="P263" i="38"/>
  <c r="O263" i="38"/>
  <c r="G263" i="38"/>
  <c r="D263" i="38"/>
  <c r="E263" i="38" s="1"/>
  <c r="F263" i="38" s="1"/>
  <c r="P262" i="38"/>
  <c r="O262" i="38"/>
  <c r="G262" i="38"/>
  <c r="D262" i="38"/>
  <c r="E262" i="38" s="1"/>
  <c r="F262" i="38" s="1"/>
  <c r="G420" i="29"/>
  <c r="G419" i="29"/>
  <c r="E420" i="29"/>
  <c r="E419" i="29"/>
  <c r="C420" i="29"/>
  <c r="C419" i="29"/>
  <c r="M238" i="37"/>
  <c r="D237" i="37"/>
  <c r="E17" i="39"/>
  <c r="D12" i="39"/>
  <c r="E26" i="39" s="1"/>
  <c r="F11" i="29"/>
  <c r="F12" i="29"/>
  <c r="F13" i="29"/>
  <c r="F14" i="29"/>
  <c r="F15" i="29"/>
  <c r="F16" i="29"/>
  <c r="F17" i="29"/>
  <c r="F18" i="29"/>
  <c r="F19" i="29"/>
  <c r="K322" i="37"/>
  <c r="E322" i="37" s="1"/>
  <c r="J322" i="37"/>
  <c r="F27" i="29"/>
  <c r="F34" i="29" s="1"/>
  <c r="K323" i="37"/>
  <c r="E323" i="37" s="1"/>
  <c r="J323" i="37"/>
  <c r="D323" i="37" s="1"/>
  <c r="F28" i="29"/>
  <c r="K324" i="37"/>
  <c r="E324" i="37" s="1"/>
  <c r="J324" i="37"/>
  <c r="D324" i="37" s="1"/>
  <c r="F29" i="29"/>
  <c r="K325" i="37"/>
  <c r="E325" i="37" s="1"/>
  <c r="J325" i="37"/>
  <c r="D325" i="37" s="1"/>
  <c r="F30" i="29"/>
  <c r="K326" i="37"/>
  <c r="E326" i="37" s="1"/>
  <c r="J326" i="37"/>
  <c r="D326" i="37" s="1"/>
  <c r="F31" i="29"/>
  <c r="K328" i="37"/>
  <c r="E328" i="37" s="1"/>
  <c r="J328" i="37"/>
  <c r="D328" i="37" s="1"/>
  <c r="K329" i="37"/>
  <c r="E329" i="37" s="1"/>
  <c r="J329" i="37"/>
  <c r="D329" i="37" s="1"/>
  <c r="K327" i="37"/>
  <c r="E327" i="37" s="1"/>
  <c r="J327" i="37"/>
  <c r="D327" i="37" s="1"/>
  <c r="F41" i="29"/>
  <c r="F44" i="29"/>
  <c r="F61" i="29"/>
  <c r="K336" i="37"/>
  <c r="E336" i="37" s="1"/>
  <c r="J336" i="37"/>
  <c r="D336" i="37" s="1"/>
  <c r="K337" i="37"/>
  <c r="E337" i="37" s="1"/>
  <c r="J337" i="37"/>
  <c r="D337" i="37" s="1"/>
  <c r="K338" i="37"/>
  <c r="E338" i="37" s="1"/>
  <c r="L338" i="37"/>
  <c r="F338" i="37" s="1"/>
  <c r="K330" i="37"/>
  <c r="E330" i="37" s="1"/>
  <c r="J330" i="37"/>
  <c r="D330" i="37" s="1"/>
  <c r="K331" i="37"/>
  <c r="E331" i="37" s="1"/>
  <c r="J331" i="37"/>
  <c r="D331" i="37" s="1"/>
  <c r="K332" i="37"/>
  <c r="E332" i="37" s="1"/>
  <c r="J332" i="37"/>
  <c r="D332" i="37" s="1"/>
  <c r="F74" i="29"/>
  <c r="F75" i="29"/>
  <c r="F80" i="29"/>
  <c r="K333" i="37"/>
  <c r="E333" i="37" s="1"/>
  <c r="J333" i="37"/>
  <c r="D333" i="37" s="1"/>
  <c r="J335" i="37"/>
  <c r="D335" i="37" s="1"/>
  <c r="L335" i="37"/>
  <c r="F335" i="37" s="1"/>
  <c r="F89" i="29"/>
  <c r="F91" i="29"/>
  <c r="F94" i="29"/>
  <c r="F95" i="29"/>
  <c r="F96" i="29" s="1"/>
  <c r="F98" i="29"/>
  <c r="F99" i="29"/>
  <c r="F104" i="29"/>
  <c r="F108" i="29"/>
  <c r="F109" i="29" s="1"/>
  <c r="F125" i="29"/>
  <c r="K388" i="37"/>
  <c r="E388" i="37" s="1"/>
  <c r="L388" i="37"/>
  <c r="F388" i="37" s="1"/>
  <c r="J339" i="37"/>
  <c r="D339" i="37" s="1"/>
  <c r="L339" i="37"/>
  <c r="F339" i="37" s="1"/>
  <c r="J340" i="37"/>
  <c r="D340" i="37" s="1"/>
  <c r="L340" i="37"/>
  <c r="F340" i="37" s="1"/>
  <c r="J341" i="37"/>
  <c r="D341" i="37" s="1"/>
  <c r="L341" i="37"/>
  <c r="F341" i="37" s="1"/>
  <c r="K384" i="37"/>
  <c r="E384" i="37" s="1"/>
  <c r="J384" i="37"/>
  <c r="D384" i="37" s="1"/>
  <c r="K385" i="37"/>
  <c r="E385" i="37" s="1"/>
  <c r="J385" i="37"/>
  <c r="D385" i="37" s="1"/>
  <c r="J376" i="37"/>
  <c r="D376" i="37" s="1"/>
  <c r="L376" i="37"/>
  <c r="F376" i="37" s="1"/>
  <c r="F162" i="29"/>
  <c r="J342" i="37"/>
  <c r="D342" i="37" s="1"/>
  <c r="L342" i="37"/>
  <c r="F342" i="37" s="1"/>
  <c r="J343" i="37"/>
  <c r="D343" i="37" s="1"/>
  <c r="L343" i="37"/>
  <c r="F343" i="37" s="1"/>
  <c r="F183" i="29"/>
  <c r="F185" i="29" s="1"/>
  <c r="J367" i="37"/>
  <c r="D367" i="37" s="1"/>
  <c r="L367" i="37"/>
  <c r="F367" i="37" s="1"/>
  <c r="J368" i="37"/>
  <c r="D368" i="37" s="1"/>
  <c r="L368" i="37"/>
  <c r="F368" i="37" s="1"/>
  <c r="J346" i="37"/>
  <c r="D346" i="37" s="1"/>
  <c r="L346" i="37"/>
  <c r="F346" i="37" s="1"/>
  <c r="J347" i="37"/>
  <c r="D347" i="37" s="1"/>
  <c r="L347" i="37"/>
  <c r="F347" i="37" s="1"/>
  <c r="J348" i="37"/>
  <c r="D348" i="37" s="1"/>
  <c r="L348" i="37"/>
  <c r="F348" i="37" s="1"/>
  <c r="J349" i="37"/>
  <c r="D349" i="37" s="1"/>
  <c r="L349" i="37"/>
  <c r="F349" i="37" s="1"/>
  <c r="J350" i="37"/>
  <c r="D350" i="37" s="1"/>
  <c r="L350" i="37"/>
  <c r="F350" i="37" s="1"/>
  <c r="J351" i="37"/>
  <c r="D351" i="37" s="1"/>
  <c r="L351" i="37"/>
  <c r="F351" i="37" s="1"/>
  <c r="J352" i="37"/>
  <c r="D352" i="37" s="1"/>
  <c r="L352" i="37"/>
  <c r="F352" i="37" s="1"/>
  <c r="J353" i="37"/>
  <c r="D353" i="37" s="1"/>
  <c r="L353" i="37"/>
  <c r="F353" i="37" s="1"/>
  <c r="J354" i="37"/>
  <c r="D354" i="37" s="1"/>
  <c r="L354" i="37"/>
  <c r="F354" i="37" s="1"/>
  <c r="J355" i="37"/>
  <c r="D355" i="37" s="1"/>
  <c r="L355" i="37"/>
  <c r="F355" i="37" s="1"/>
  <c r="J356" i="37"/>
  <c r="D356" i="37" s="1"/>
  <c r="L356" i="37"/>
  <c r="F356" i="37" s="1"/>
  <c r="J357" i="37"/>
  <c r="D357" i="37" s="1"/>
  <c r="L357" i="37"/>
  <c r="F357" i="37" s="1"/>
  <c r="J358" i="37"/>
  <c r="D358" i="37" s="1"/>
  <c r="L358" i="37"/>
  <c r="F358" i="37" s="1"/>
  <c r="J359" i="37"/>
  <c r="D359" i="37" s="1"/>
  <c r="L359" i="37"/>
  <c r="F359" i="37" s="1"/>
  <c r="J360" i="37"/>
  <c r="D360" i="37" s="1"/>
  <c r="L360" i="37"/>
  <c r="F360" i="37" s="1"/>
  <c r="J361" i="37"/>
  <c r="D361" i="37" s="1"/>
  <c r="L361" i="37"/>
  <c r="F361" i="37" s="1"/>
  <c r="J362" i="37"/>
  <c r="D362" i="37" s="1"/>
  <c r="L362" i="37"/>
  <c r="F362" i="37" s="1"/>
  <c r="J363" i="37"/>
  <c r="D363" i="37" s="1"/>
  <c r="L363" i="37"/>
  <c r="F363" i="37" s="1"/>
  <c r="J364" i="37"/>
  <c r="D364" i="37" s="1"/>
  <c r="L364" i="37"/>
  <c r="F364" i="37" s="1"/>
  <c r="J365" i="37"/>
  <c r="D365" i="37" s="1"/>
  <c r="L365" i="37"/>
  <c r="F365" i="37" s="1"/>
  <c r="J366" i="37"/>
  <c r="D366" i="37" s="1"/>
  <c r="L366" i="37"/>
  <c r="F366" i="37" s="1"/>
  <c r="J370" i="37"/>
  <c r="D370" i="37" s="1"/>
  <c r="L370" i="37"/>
  <c r="F370" i="37" s="1"/>
  <c r="J371" i="37"/>
  <c r="D371" i="37" s="1"/>
  <c r="L371" i="37"/>
  <c r="F371" i="37" s="1"/>
  <c r="J372" i="37"/>
  <c r="D372" i="37" s="1"/>
  <c r="L372" i="37"/>
  <c r="F372" i="37" s="1"/>
  <c r="J373" i="37"/>
  <c r="D373" i="37" s="1"/>
  <c r="L373" i="37"/>
  <c r="F373" i="37" s="1"/>
  <c r="J389" i="37"/>
  <c r="D389" i="37" s="1"/>
  <c r="L389" i="37"/>
  <c r="F389" i="37" s="1"/>
  <c r="J390" i="37"/>
  <c r="D390" i="37" s="1"/>
  <c r="L390" i="37"/>
  <c r="F390" i="37" s="1"/>
  <c r="F244" i="29"/>
  <c r="J393" i="37"/>
  <c r="D393" i="37" s="1"/>
  <c r="L393" i="37"/>
  <c r="F393" i="37" s="1"/>
  <c r="J344" i="37"/>
  <c r="D344" i="37" s="1"/>
  <c r="L344" i="37"/>
  <c r="F344" i="37" s="1"/>
  <c r="J345" i="37"/>
  <c r="D345" i="37" s="1"/>
  <c r="L345" i="37"/>
  <c r="F345" i="37" s="1"/>
  <c r="J391" i="37"/>
  <c r="D391" i="37" s="1"/>
  <c r="L391" i="37"/>
  <c r="F391" i="37" s="1"/>
  <c r="J392" i="37"/>
  <c r="D392" i="37" s="1"/>
  <c r="L392" i="37"/>
  <c r="F392" i="37" s="1"/>
  <c r="J369" i="37"/>
  <c r="D369" i="37" s="1"/>
  <c r="L369" i="37"/>
  <c r="F369" i="37" s="1"/>
  <c r="F570" i="29"/>
  <c r="F571" i="29"/>
  <c r="F699" i="29"/>
  <c r="F700" i="29"/>
  <c r="F711" i="29"/>
  <c r="F717" i="29"/>
  <c r="F730" i="29"/>
  <c r="L378" i="37"/>
  <c r="F378" i="37" s="1"/>
  <c r="L379" i="37"/>
  <c r="F379" i="37" s="1"/>
  <c r="J380" i="37"/>
  <c r="D380" i="37" s="1"/>
  <c r="L380" i="37"/>
  <c r="F380" i="37" s="1"/>
  <c r="L381" i="37"/>
  <c r="F381" i="37" s="1"/>
  <c r="L382" i="37"/>
  <c r="F382" i="37" s="1"/>
  <c r="L383" i="37"/>
  <c r="F383" i="37" s="1"/>
  <c r="J377" i="37"/>
  <c r="D377" i="37" s="1"/>
  <c r="L377" i="37"/>
  <c r="F377" i="37" s="1"/>
  <c r="F781" i="29"/>
  <c r="F780" i="29" s="1"/>
  <c r="F788" i="29"/>
  <c r="F789" i="29" s="1"/>
  <c r="F793" i="29"/>
  <c r="F794" i="29"/>
  <c r="F801" i="29"/>
  <c r="F802" i="29" s="1"/>
  <c r="F806" i="29"/>
  <c r="F807" i="29" s="1"/>
  <c r="F810" i="29"/>
  <c r="K374" i="37"/>
  <c r="E374" i="37" s="1"/>
  <c r="J374" i="37"/>
  <c r="D374" i="37" s="1"/>
  <c r="K375" i="37"/>
  <c r="E375" i="37" s="1"/>
  <c r="J375" i="37"/>
  <c r="D375" i="37" s="1"/>
  <c r="F828" i="29"/>
  <c r="F833" i="29"/>
  <c r="F835" i="29"/>
  <c r="F834" i="29" s="1"/>
  <c r="F840" i="29"/>
  <c r="F841" i="29"/>
  <c r="F842" i="29"/>
  <c r="F843" i="29"/>
  <c r="F839" i="29"/>
  <c r="C59" i="29"/>
  <c r="C58" i="29"/>
  <c r="C57" i="29"/>
  <c r="C56" i="29"/>
  <c r="C55" i="29"/>
  <c r="C54" i="29"/>
  <c r="C53" i="29"/>
  <c r="C52" i="29"/>
  <c r="C51" i="29"/>
  <c r="D215" i="37"/>
  <c r="E215" i="37"/>
  <c r="C467" i="29"/>
  <c r="E467" i="29"/>
  <c r="M236" i="37"/>
  <c r="C473" i="29"/>
  <c r="E473" i="29"/>
  <c r="C472" i="29"/>
  <c r="E472" i="29"/>
  <c r="D234" i="37"/>
  <c r="C468" i="29"/>
  <c r="E468" i="29"/>
  <c r="M233" i="37"/>
  <c r="C440" i="29"/>
  <c r="E440" i="29"/>
  <c r="J232" i="37"/>
  <c r="C442" i="29"/>
  <c r="E442" i="29"/>
  <c r="E451" i="29"/>
  <c r="M231" i="37"/>
  <c r="C451" i="29"/>
  <c r="E450" i="29"/>
  <c r="D230" i="37"/>
  <c r="C450" i="29"/>
  <c r="E449" i="29"/>
  <c r="E448" i="29"/>
  <c r="M229" i="37"/>
  <c r="D228" i="37"/>
  <c r="C449" i="29"/>
  <c r="C448" i="29"/>
  <c r="C446" i="29"/>
  <c r="E446" i="29"/>
  <c r="M227" i="37"/>
  <c r="C458" i="29"/>
  <c r="C457" i="29"/>
  <c r="C456" i="29"/>
  <c r="E458" i="29"/>
  <c r="E457" i="29"/>
  <c r="E456" i="29"/>
  <c r="M226" i="37"/>
  <c r="D225" i="37"/>
  <c r="D224" i="37"/>
  <c r="C463" i="29"/>
  <c r="C462" i="29"/>
  <c r="C461" i="29"/>
  <c r="E463" i="29"/>
  <c r="E462" i="29"/>
  <c r="E461" i="29"/>
  <c r="M223" i="37"/>
  <c r="D222" i="37"/>
  <c r="C497" i="29"/>
  <c r="E497" i="29"/>
  <c r="C496" i="29"/>
  <c r="E496" i="29"/>
  <c r="C495" i="29"/>
  <c r="E495" i="29"/>
  <c r="E494" i="29"/>
  <c r="C494" i="29"/>
  <c r="C505" i="29"/>
  <c r="E506" i="29"/>
  <c r="C498" i="29"/>
  <c r="E498" i="29"/>
  <c r="C545" i="29"/>
  <c r="E545" i="29"/>
  <c r="C542" i="29"/>
  <c r="C541" i="29"/>
  <c r="C540" i="29"/>
  <c r="E542" i="29"/>
  <c r="E541" i="29"/>
  <c r="E540" i="29"/>
  <c r="C544" i="29"/>
  <c r="E544" i="29"/>
  <c r="C531" i="29"/>
  <c r="C530" i="29"/>
  <c r="C529" i="29"/>
  <c r="E531" i="29"/>
  <c r="E530" i="29"/>
  <c r="E529" i="29"/>
  <c r="C516" i="29"/>
  <c r="E526" i="29"/>
  <c r="C520" i="29"/>
  <c r="C519" i="29"/>
  <c r="C518" i="29"/>
  <c r="E520" i="29"/>
  <c r="E519" i="29"/>
  <c r="E518" i="29"/>
  <c r="C514" i="29"/>
  <c r="C513" i="29"/>
  <c r="C512" i="29"/>
  <c r="C511" i="29"/>
  <c r="E514" i="29"/>
  <c r="E513" i="29"/>
  <c r="E512" i="29"/>
  <c r="E511" i="29"/>
  <c r="E510" i="29"/>
  <c r="E509" i="29"/>
  <c r="C509" i="29"/>
  <c r="C510" i="29"/>
  <c r="C478" i="29"/>
  <c r="E478" i="29"/>
  <c r="G478" i="29"/>
  <c r="E227" i="37"/>
  <c r="E228" i="37"/>
  <c r="E229" i="37"/>
  <c r="E230" i="37"/>
  <c r="E231" i="37"/>
  <c r="E225" i="37"/>
  <c r="E226" i="37"/>
  <c r="E223" i="37"/>
  <c r="E224" i="37"/>
  <c r="E236" i="37"/>
  <c r="E233" i="37"/>
  <c r="E234" i="37"/>
  <c r="C479" i="29"/>
  <c r="E479" i="29"/>
  <c r="G479" i="29"/>
  <c r="C480" i="29"/>
  <c r="E480" i="29"/>
  <c r="G480" i="29"/>
  <c r="C481" i="29"/>
  <c r="E481" i="29"/>
  <c r="G481" i="29"/>
  <c r="C482" i="29"/>
  <c r="E482" i="29"/>
  <c r="G482" i="29"/>
  <c r="C483" i="29"/>
  <c r="E483" i="29"/>
  <c r="G483" i="29"/>
  <c r="C484" i="29"/>
  <c r="E484" i="29"/>
  <c r="G484" i="29"/>
  <c r="C485" i="29"/>
  <c r="E485" i="29"/>
  <c r="G485" i="29"/>
  <c r="C486" i="29"/>
  <c r="E486" i="29"/>
  <c r="G486" i="29"/>
  <c r="C488" i="29"/>
  <c r="E488" i="29"/>
  <c r="G488" i="29"/>
  <c r="C490" i="29"/>
  <c r="E490" i="29"/>
  <c r="G490" i="29"/>
  <c r="C491" i="29"/>
  <c r="E491" i="29"/>
  <c r="G491" i="29"/>
  <c r="E505" i="29"/>
  <c r="E504" i="29"/>
  <c r="D221" i="37"/>
  <c r="C500" i="29"/>
  <c r="C499" i="29"/>
  <c r="E501" i="29"/>
  <c r="E500" i="29"/>
  <c r="E499" i="29"/>
  <c r="M216" i="37"/>
  <c r="D218" i="37"/>
  <c r="E219" i="37"/>
  <c r="D220" i="37"/>
  <c r="F238" i="37"/>
  <c r="E238" i="37"/>
  <c r="F237" i="37"/>
  <c r="E237" i="37"/>
  <c r="F236" i="37"/>
  <c r="F235" i="37"/>
  <c r="F234" i="37"/>
  <c r="F233" i="37"/>
  <c r="F232" i="37"/>
  <c r="F231" i="37"/>
  <c r="F230" i="37"/>
  <c r="F229" i="37"/>
  <c r="F228" i="37"/>
  <c r="F227" i="37"/>
  <c r="F226" i="37"/>
  <c r="F225" i="37"/>
  <c r="F224" i="37"/>
  <c r="F223" i="37"/>
  <c r="F222" i="37"/>
  <c r="E222" i="37"/>
  <c r="F221" i="37"/>
  <c r="F220" i="37"/>
  <c r="F219" i="37"/>
  <c r="F218" i="37"/>
  <c r="F217" i="37"/>
  <c r="F216" i="37"/>
  <c r="M225" i="37"/>
  <c r="F215" i="37"/>
  <c r="F67" i="37"/>
  <c r="F66" i="37"/>
  <c r="F155" i="37"/>
  <c r="F144" i="37"/>
  <c r="F78" i="37"/>
  <c r="F68" i="37"/>
  <c r="F64" i="37"/>
  <c r="F65" i="37"/>
  <c r="F143" i="37"/>
  <c r="F32" i="37"/>
  <c r="D173" i="37"/>
  <c r="F173" i="37"/>
  <c r="F174" i="37"/>
  <c r="E176" i="37"/>
  <c r="D176" i="37"/>
  <c r="F176" i="37"/>
  <c r="E177" i="37"/>
  <c r="D177" i="37"/>
  <c r="F177" i="37"/>
  <c r="M51" i="37"/>
  <c r="M50" i="37"/>
  <c r="E175" i="37"/>
  <c r="F175" i="37"/>
  <c r="E313" i="37"/>
  <c r="F313" i="37"/>
  <c r="E314" i="37"/>
  <c r="F314" i="37"/>
  <c r="E315" i="37"/>
  <c r="F315" i="37"/>
  <c r="E316" i="37"/>
  <c r="F316" i="37"/>
  <c r="E317" i="37"/>
  <c r="F317" i="37"/>
  <c r="E318" i="37"/>
  <c r="F318" i="37"/>
  <c r="E310" i="37"/>
  <c r="F310" i="37"/>
  <c r="E311" i="37"/>
  <c r="F311" i="37"/>
  <c r="E312" i="37"/>
  <c r="F312" i="37"/>
  <c r="F86" i="37"/>
  <c r="F87" i="37"/>
  <c r="F130" i="37"/>
  <c r="F61" i="37"/>
  <c r="F157" i="37"/>
  <c r="F105" i="37"/>
  <c r="F96" i="37"/>
  <c r="F97" i="37"/>
  <c r="F100" i="37"/>
  <c r="F102" i="37"/>
  <c r="E191" i="37"/>
  <c r="D191" i="37"/>
  <c r="D185" i="37"/>
  <c r="F185" i="37"/>
  <c r="F183" i="37"/>
  <c r="F184" i="37"/>
  <c r="D178" i="37"/>
  <c r="F178" i="37"/>
  <c r="E179" i="37"/>
  <c r="F179" i="37"/>
  <c r="F180" i="37"/>
  <c r="F181" i="37"/>
  <c r="F182" i="37"/>
  <c r="F161" i="37"/>
  <c r="F106" i="37"/>
  <c r="F110" i="37"/>
  <c r="F107" i="37"/>
  <c r="F108" i="37"/>
  <c r="E127" i="37"/>
  <c r="D127" i="37"/>
  <c r="F127" i="37"/>
  <c r="F128" i="37"/>
  <c r="F109" i="37"/>
  <c r="L188" i="37"/>
  <c r="L189" i="37"/>
  <c r="L190" i="37"/>
  <c r="F124" i="37"/>
  <c r="F126" i="37"/>
  <c r="F121" i="37"/>
  <c r="F52" i="37"/>
  <c r="F53" i="37"/>
  <c r="E201" i="37"/>
  <c r="D201" i="37"/>
  <c r="F201" i="37"/>
  <c r="D198" i="37"/>
  <c r="F198" i="37"/>
  <c r="F149" i="37"/>
  <c r="E197" i="37"/>
  <c r="D197" i="37"/>
  <c r="F197" i="37"/>
  <c r="E196" i="37"/>
  <c r="D196" i="37"/>
  <c r="F196" i="37"/>
  <c r="F54" i="37"/>
  <c r="D199" i="37"/>
  <c r="F199" i="37"/>
  <c r="D200" i="37"/>
  <c r="F200" i="37"/>
  <c r="F484" i="37"/>
  <c r="F485" i="37"/>
  <c r="F486" i="37"/>
  <c r="F487" i="37"/>
  <c r="F488" i="37"/>
  <c r="F489" i="37"/>
  <c r="F490" i="37"/>
  <c r="F491" i="37"/>
  <c r="F492" i="37"/>
  <c r="F493" i="37"/>
  <c r="F494" i="37"/>
  <c r="F495" i="37"/>
  <c r="F496" i="37"/>
  <c r="F497" i="37"/>
  <c r="F498" i="37"/>
  <c r="F499" i="37"/>
  <c r="F500" i="37"/>
  <c r="F501" i="37"/>
  <c r="F502" i="37"/>
  <c r="F503" i="37"/>
  <c r="F504" i="37"/>
  <c r="F505" i="37"/>
  <c r="F506" i="37"/>
  <c r="F507" i="37"/>
  <c r="F508" i="37"/>
  <c r="F509" i="37"/>
  <c r="F510" i="37"/>
  <c r="F511" i="37"/>
  <c r="F512" i="37"/>
  <c r="F513" i="37"/>
  <c r="F514" i="37"/>
  <c r="F515" i="37"/>
  <c r="F516" i="37"/>
  <c r="F517" i="37"/>
  <c r="F518" i="37"/>
  <c r="F519" i="37"/>
  <c r="F520" i="37"/>
  <c r="F521" i="37"/>
  <c r="F522" i="37"/>
  <c r="F523" i="37"/>
  <c r="F524" i="37"/>
  <c r="F525" i="37"/>
  <c r="F526" i="37"/>
  <c r="F527" i="37"/>
  <c r="F528" i="37"/>
  <c r="F529" i="37"/>
  <c r="F530" i="37"/>
  <c r="F531" i="37"/>
  <c r="F532" i="37"/>
  <c r="F533" i="37"/>
  <c r="F534" i="37"/>
  <c r="F535" i="37"/>
  <c r="F536" i="37"/>
  <c r="F537" i="37"/>
  <c r="F538" i="37"/>
  <c r="F539" i="37"/>
  <c r="F540" i="37"/>
  <c r="F541" i="37"/>
  <c r="F542" i="37"/>
  <c r="F543" i="37"/>
  <c r="F544" i="37"/>
  <c r="F545" i="37"/>
  <c r="F546" i="37"/>
  <c r="F547" i="37"/>
  <c r="F548" i="37"/>
  <c r="F549" i="37"/>
  <c r="F550" i="37"/>
  <c r="F551" i="37"/>
  <c r="F552" i="37"/>
  <c r="F553" i="37"/>
  <c r="F554" i="37"/>
  <c r="F555" i="37"/>
  <c r="F556" i="37"/>
  <c r="F557" i="37"/>
  <c r="F558" i="37"/>
  <c r="F559" i="37"/>
  <c r="F560" i="37"/>
  <c r="F561" i="37"/>
  <c r="F562" i="37"/>
  <c r="F563" i="37"/>
  <c r="F564" i="37"/>
  <c r="F565" i="37"/>
  <c r="F566" i="37"/>
  <c r="F567" i="37"/>
  <c r="F568" i="37"/>
  <c r="F569" i="37"/>
  <c r="F570" i="37"/>
  <c r="F571" i="37"/>
  <c r="F572" i="37"/>
  <c r="F573" i="37"/>
  <c r="F574" i="37"/>
  <c r="F575" i="37"/>
  <c r="F576" i="37"/>
  <c r="F577" i="37"/>
  <c r="F578" i="37"/>
  <c r="F579" i="37"/>
  <c r="F580" i="37"/>
  <c r="F581" i="37"/>
  <c r="F582" i="37"/>
  <c r="F583" i="37"/>
  <c r="F584" i="37"/>
  <c r="F585" i="37"/>
  <c r="F586" i="37"/>
  <c r="F587" i="37"/>
  <c r="F588" i="37"/>
  <c r="F589" i="37"/>
  <c r="F590" i="37"/>
  <c r="F591" i="37"/>
  <c r="F592" i="37"/>
  <c r="F593" i="37"/>
  <c r="F594" i="37"/>
  <c r="F595" i="37"/>
  <c r="F596" i="37"/>
  <c r="F597" i="37"/>
  <c r="F598" i="37"/>
  <c r="F599" i="37"/>
  <c r="F600" i="37"/>
  <c r="F601" i="37"/>
  <c r="F602" i="37"/>
  <c r="F603" i="37"/>
  <c r="F604" i="37"/>
  <c r="F15" i="37"/>
  <c r="F85" i="37"/>
  <c r="F17" i="37"/>
  <c r="F13" i="37"/>
  <c r="F146" i="37"/>
  <c r="F9" i="37"/>
  <c r="F16" i="37"/>
  <c r="E209" i="37"/>
  <c r="D209" i="37"/>
  <c r="F209" i="37"/>
  <c r="E210" i="37"/>
  <c r="D210" i="37"/>
  <c r="F210" i="37"/>
  <c r="E211" i="37"/>
  <c r="F211" i="37"/>
  <c r="E212" i="37"/>
  <c r="F212" i="37"/>
  <c r="E213" i="37"/>
  <c r="F213" i="37"/>
  <c r="F14" i="37"/>
  <c r="F148" i="37"/>
  <c r="E214" i="37"/>
  <c r="D214" i="37"/>
  <c r="F214" i="37"/>
  <c r="F10" i="37"/>
  <c r="F11" i="37"/>
  <c r="F12" i="37"/>
  <c r="E205" i="37"/>
  <c r="D205" i="37"/>
  <c r="F205" i="37"/>
  <c r="E206" i="37"/>
  <c r="F206" i="37"/>
  <c r="F398" i="37"/>
  <c r="F399" i="37"/>
  <c r="F400" i="37"/>
  <c r="F401" i="37"/>
  <c r="F402" i="37"/>
  <c r="F403" i="37"/>
  <c r="F404" i="37"/>
  <c r="F405" i="37"/>
  <c r="F406" i="37"/>
  <c r="F407" i="37"/>
  <c r="F408" i="37"/>
  <c r="F409" i="37"/>
  <c r="F410" i="37"/>
  <c r="F411" i="37"/>
  <c r="F412" i="37"/>
  <c r="F413" i="37"/>
  <c r="F414" i="37"/>
  <c r="F415" i="37"/>
  <c r="F416" i="37"/>
  <c r="F417" i="37"/>
  <c r="F418" i="37"/>
  <c r="F419" i="37"/>
  <c r="F420" i="37"/>
  <c r="F421" i="37"/>
  <c r="F422" i="37"/>
  <c r="F423" i="37"/>
  <c r="F424" i="37"/>
  <c r="F425" i="37"/>
  <c r="F426" i="37"/>
  <c r="F427" i="37"/>
  <c r="F428" i="37"/>
  <c r="F429" i="37"/>
  <c r="F430" i="37"/>
  <c r="F431" i="37"/>
  <c r="F432" i="37"/>
  <c r="F433" i="37"/>
  <c r="F434" i="37"/>
  <c r="F435" i="37"/>
  <c r="F436" i="37"/>
  <c r="F437" i="37"/>
  <c r="F438" i="37"/>
  <c r="F439" i="37"/>
  <c r="F440" i="37"/>
  <c r="F441" i="37"/>
  <c r="F442" i="37"/>
  <c r="F443" i="37"/>
  <c r="F444" i="37"/>
  <c r="F445" i="37"/>
  <c r="F446" i="37"/>
  <c r="F447" i="37"/>
  <c r="F448" i="37"/>
  <c r="F449" i="37"/>
  <c r="F450" i="37"/>
  <c r="F451" i="37"/>
  <c r="F452" i="37"/>
  <c r="F453" i="37"/>
  <c r="F454" i="37"/>
  <c r="F455" i="37"/>
  <c r="F456" i="37"/>
  <c r="F457" i="37"/>
  <c r="F458" i="37"/>
  <c r="F459" i="37"/>
  <c r="F460" i="37"/>
  <c r="F461" i="37"/>
  <c r="F462" i="37"/>
  <c r="F463" i="37"/>
  <c r="F464" i="37"/>
  <c r="F465" i="37"/>
  <c r="F466" i="37"/>
  <c r="F467" i="37"/>
  <c r="F468" i="37"/>
  <c r="F469" i="37"/>
  <c r="F470" i="37"/>
  <c r="F471" i="37"/>
  <c r="F472" i="37"/>
  <c r="F473" i="37"/>
  <c r="F474" i="37"/>
  <c r="F475" i="37"/>
  <c r="F476" i="37"/>
  <c r="F477" i="37"/>
  <c r="F478" i="37"/>
  <c r="F479" i="37"/>
  <c r="F480" i="37"/>
  <c r="F481" i="37"/>
  <c r="F482" i="37"/>
  <c r="F483" i="37"/>
  <c r="F21" i="37"/>
  <c r="F18" i="37"/>
  <c r="E207" i="37"/>
  <c r="D207" i="37"/>
  <c r="F207" i="37"/>
  <c r="M192" i="37"/>
  <c r="F192" i="37"/>
  <c r="F195" i="37"/>
  <c r="F22" i="37"/>
  <c r="F90" i="37"/>
  <c r="F129" i="37"/>
  <c r="F91" i="37"/>
  <c r="E208" i="37"/>
  <c r="M208" i="37"/>
  <c r="F208" i="37"/>
  <c r="D193" i="37"/>
  <c r="F193" i="37"/>
  <c r="M194" i="37"/>
  <c r="F194" i="37"/>
  <c r="F73" i="37"/>
  <c r="F74" i="37"/>
  <c r="F76" i="37"/>
  <c r="F77" i="37"/>
  <c r="F75" i="37"/>
  <c r="F38" i="37"/>
  <c r="F34" i="37"/>
  <c r="F36" i="37"/>
  <c r="F37" i="37"/>
  <c r="F33" i="37"/>
  <c r="F35" i="37"/>
  <c r="F120" i="37"/>
  <c r="F118" i="37"/>
  <c r="F119" i="37"/>
  <c r="F55" i="37"/>
  <c r="F202" i="37"/>
  <c r="F135" i="37"/>
  <c r="F134" i="37"/>
  <c r="F136" i="37"/>
  <c r="D204" i="37"/>
  <c r="F204" i="37"/>
  <c r="E203" i="37"/>
  <c r="D203" i="37"/>
  <c r="F203" i="37"/>
  <c r="F137" i="37"/>
  <c r="F138" i="37"/>
  <c r="F139" i="37"/>
  <c r="F140" i="37"/>
  <c r="F141" i="37"/>
  <c r="G247" i="29"/>
  <c r="C247" i="29"/>
  <c r="E247" i="29"/>
  <c r="E568" i="29"/>
  <c r="C568" i="29"/>
  <c r="C562" i="29"/>
  <c r="E562" i="29"/>
  <c r="C561" i="29"/>
  <c r="C560" i="29"/>
  <c r="E561" i="29"/>
  <c r="E560" i="29"/>
  <c r="G561" i="29"/>
  <c r="M201" i="37"/>
  <c r="C583" i="29"/>
  <c r="C582" i="29"/>
  <c r="E583" i="29"/>
  <c r="E582" i="29"/>
  <c r="G843" i="29"/>
  <c r="C843" i="29"/>
  <c r="E843" i="29"/>
  <c r="E842" i="29"/>
  <c r="E810" i="29"/>
  <c r="E833" i="29"/>
  <c r="E834" i="29"/>
  <c r="E821" i="29"/>
  <c r="C201" i="29"/>
  <c r="C198" i="29"/>
  <c r="E198" i="29"/>
  <c r="E254" i="29"/>
  <c r="E253" i="29"/>
  <c r="E252" i="29"/>
  <c r="B277" i="37"/>
  <c r="C277" i="37"/>
  <c r="B278" i="37"/>
  <c r="C278" i="37"/>
  <c r="B279" i="37"/>
  <c r="C279" i="37"/>
  <c r="G744" i="29" s="1"/>
  <c r="B280" i="37"/>
  <c r="C280" i="37"/>
  <c r="B281" i="37"/>
  <c r="C281" i="37"/>
  <c r="B282" i="37"/>
  <c r="C282" i="37"/>
  <c r="B283" i="37"/>
  <c r="C283" i="37"/>
  <c r="B284" i="37"/>
  <c r="C284" i="37"/>
  <c r="G751" i="29" s="1"/>
  <c r="B285" i="37"/>
  <c r="C285" i="37"/>
  <c r="B286" i="37"/>
  <c r="C286" i="37"/>
  <c r="B287" i="37"/>
  <c r="E754" i="29" s="1"/>
  <c r="C287" i="37"/>
  <c r="B288" i="37"/>
  <c r="C288" i="37"/>
  <c r="B289" i="37"/>
  <c r="C289" i="37"/>
  <c r="B290" i="37"/>
  <c r="C290" i="37"/>
  <c r="B291" i="37"/>
  <c r="C291" i="37"/>
  <c r="G577" i="29" s="1"/>
  <c r="B292" i="37"/>
  <c r="C292" i="37"/>
  <c r="G578" i="29" s="1"/>
  <c r="B293" i="37"/>
  <c r="C293" i="37"/>
  <c r="G253" i="29"/>
  <c r="C253" i="29"/>
  <c r="G254" i="29"/>
  <c r="C254" i="29"/>
  <c r="C245" i="29"/>
  <c r="C244" i="29"/>
  <c r="C243" i="29"/>
  <c r="E245" i="29"/>
  <c r="E244" i="29"/>
  <c r="E243" i="29"/>
  <c r="Q583" i="20"/>
  <c r="K393" i="37" s="1"/>
  <c r="E393" i="37" s="1"/>
  <c r="N583" i="20"/>
  <c r="G583" i="20"/>
  <c r="D583" i="20"/>
  <c r="E583" i="20" s="1"/>
  <c r="F583" i="20" s="1"/>
  <c r="N582" i="20"/>
  <c r="Q582" i="20" s="1"/>
  <c r="K392" i="37" s="1"/>
  <c r="E392" i="37" s="1"/>
  <c r="G582" i="20"/>
  <c r="D582" i="20"/>
  <c r="E582" i="20" s="1"/>
  <c r="F582" i="20" s="1"/>
  <c r="N581" i="20"/>
  <c r="Q581" i="20" s="1"/>
  <c r="K391" i="37" s="1"/>
  <c r="E391" i="37" s="1"/>
  <c r="G581" i="20"/>
  <c r="D581" i="20"/>
  <c r="E581" i="20" s="1"/>
  <c r="F581" i="20" s="1"/>
  <c r="N580" i="20"/>
  <c r="Q580" i="20" s="1"/>
  <c r="K390" i="37" s="1"/>
  <c r="E390" i="37" s="1"/>
  <c r="G580" i="20"/>
  <c r="D580" i="20"/>
  <c r="E580" i="20" s="1"/>
  <c r="F580" i="20" s="1"/>
  <c r="N579" i="20"/>
  <c r="Q579" i="20" s="1"/>
  <c r="K389" i="37" s="1"/>
  <c r="E389" i="37" s="1"/>
  <c r="G579" i="20"/>
  <c r="D579" i="20"/>
  <c r="E579" i="20" s="1"/>
  <c r="F579" i="20" s="1"/>
  <c r="M574" i="20"/>
  <c r="L574" i="20"/>
  <c r="K574" i="20"/>
  <c r="J574" i="20"/>
  <c r="I574" i="20"/>
  <c r="C246" i="29"/>
  <c r="E246" i="29"/>
  <c r="C240" i="29"/>
  <c r="E240" i="29"/>
  <c r="C242" i="29"/>
  <c r="C241" i="29"/>
  <c r="C238" i="29"/>
  <c r="C237" i="29"/>
  <c r="E242" i="29"/>
  <c r="E241" i="29"/>
  <c r="E238" i="29"/>
  <c r="E237" i="29"/>
  <c r="N364" i="20"/>
  <c r="Q364" i="20"/>
  <c r="K373" i="37" s="1"/>
  <c r="E373" i="37" s="1"/>
  <c r="N363" i="20"/>
  <c r="Q363" i="20"/>
  <c r="K372" i="37" s="1"/>
  <c r="E372" i="37" s="1"/>
  <c r="N362" i="20"/>
  <c r="Q362" i="20"/>
  <c r="K371" i="37" s="1"/>
  <c r="E371" i="37" s="1"/>
  <c r="N361" i="20"/>
  <c r="Q361" i="20" s="1"/>
  <c r="K370" i="37" s="1"/>
  <c r="E370" i="37" s="1"/>
  <c r="G364" i="20"/>
  <c r="D364" i="20"/>
  <c r="E364" i="20" s="1"/>
  <c r="F364" i="20" s="1"/>
  <c r="G363" i="20"/>
  <c r="D363" i="20"/>
  <c r="E363" i="20" s="1"/>
  <c r="F363" i="20" s="1"/>
  <c r="G362" i="20"/>
  <c r="D362" i="20"/>
  <c r="E362" i="20" s="1"/>
  <c r="F362" i="20" s="1"/>
  <c r="G361" i="20"/>
  <c r="D361" i="20"/>
  <c r="E361" i="20" s="1"/>
  <c r="F361" i="20" s="1"/>
  <c r="N23" i="20"/>
  <c r="R23" i="20" s="1"/>
  <c r="L322" i="37" s="1"/>
  <c r="F322" i="37" s="1"/>
  <c r="N24" i="20"/>
  <c r="R24" i="20" s="1"/>
  <c r="L323" i="37" s="1"/>
  <c r="F323" i="37" s="1"/>
  <c r="N25" i="20"/>
  <c r="R25" i="20" s="1"/>
  <c r="L324" i="37" s="1"/>
  <c r="F324" i="37" s="1"/>
  <c r="N26" i="20"/>
  <c r="R26" i="20"/>
  <c r="L325" i="37" s="1"/>
  <c r="F325" i="37" s="1"/>
  <c r="N27" i="20"/>
  <c r="R27" i="20"/>
  <c r="L326" i="37" s="1"/>
  <c r="F326" i="37" s="1"/>
  <c r="N29" i="20"/>
  <c r="R29" i="20"/>
  <c r="N30" i="20"/>
  <c r="R30" i="20" s="1"/>
  <c r="L329" i="37" s="1"/>
  <c r="N28" i="20"/>
  <c r="R28" i="20" s="1"/>
  <c r="L327" i="37" s="1"/>
  <c r="F327" i="37" s="1"/>
  <c r="I60" i="20"/>
  <c r="N60" i="20" s="1"/>
  <c r="R60" i="20" s="1"/>
  <c r="L330" i="37" s="1"/>
  <c r="F330" i="37" s="1"/>
  <c r="J60" i="20"/>
  <c r="I61" i="20"/>
  <c r="J61" i="20"/>
  <c r="L61" i="20"/>
  <c r="I62" i="20"/>
  <c r="J62" i="20"/>
  <c r="L62" i="20"/>
  <c r="I130" i="20"/>
  <c r="N130" i="20" s="1"/>
  <c r="R130" i="20" s="1"/>
  <c r="L336" i="37" s="1"/>
  <c r="F336" i="37" s="1"/>
  <c r="I131" i="20"/>
  <c r="J131" i="20"/>
  <c r="K131" i="20"/>
  <c r="I132" i="20"/>
  <c r="N132" i="20" s="1"/>
  <c r="P132" i="20" s="1"/>
  <c r="D338" i="37" s="1"/>
  <c r="J132" i="20"/>
  <c r="K132" i="20"/>
  <c r="N97" i="20"/>
  <c r="R97" i="20" s="1"/>
  <c r="L333" i="37" s="1"/>
  <c r="F333" i="37" s="1"/>
  <c r="I99" i="20"/>
  <c r="N99" i="20" s="1"/>
  <c r="Q99" i="20" s="1"/>
  <c r="K335" i="37" s="1"/>
  <c r="E335" i="37" s="1"/>
  <c r="K99" i="20"/>
  <c r="N546" i="20"/>
  <c r="P546" i="20" s="1"/>
  <c r="J388" i="37" s="1"/>
  <c r="D388" i="37" s="1"/>
  <c r="N163" i="20"/>
  <c r="Q163" i="20" s="1"/>
  <c r="K339" i="37" s="1"/>
  <c r="E339" i="37" s="1"/>
  <c r="N164" i="20"/>
  <c r="Q164" i="20" s="1"/>
  <c r="K340" i="37" s="1"/>
  <c r="E340" i="37" s="1"/>
  <c r="N165" i="20"/>
  <c r="Q165" i="20" s="1"/>
  <c r="K341" i="37" s="1"/>
  <c r="E341" i="37" s="1"/>
  <c r="I513" i="20"/>
  <c r="N513" i="20" s="1"/>
  <c r="R513" i="20" s="1"/>
  <c r="L384" i="37" s="1"/>
  <c r="F384" i="37" s="1"/>
  <c r="I514" i="20"/>
  <c r="N514" i="20" s="1"/>
  <c r="R514" i="20" s="1"/>
  <c r="L385" i="37" s="1"/>
  <c r="F385" i="37" s="1"/>
  <c r="J514" i="20"/>
  <c r="I517" i="20"/>
  <c r="N517" i="20"/>
  <c r="Q515" i="20" s="1"/>
  <c r="K386" i="37" s="1"/>
  <c r="E386" i="37" s="1"/>
  <c r="N519" i="20"/>
  <c r="P515" i="20" s="1"/>
  <c r="J515" i="20"/>
  <c r="I518" i="20"/>
  <c r="N518" i="20" s="1"/>
  <c r="Q516" i="20" s="1"/>
  <c r="K387" i="37" s="1"/>
  <c r="E387" i="37" s="1"/>
  <c r="I516" i="20"/>
  <c r="J516" i="20"/>
  <c r="J420" i="20"/>
  <c r="K420" i="20"/>
  <c r="I271" i="20"/>
  <c r="N271" i="20" s="1"/>
  <c r="Q271" i="20" s="1"/>
  <c r="K342" i="37" s="1"/>
  <c r="E342" i="37" s="1"/>
  <c r="J271" i="20"/>
  <c r="I272" i="20"/>
  <c r="J272" i="20"/>
  <c r="N358" i="20"/>
  <c r="Q358" i="20" s="1"/>
  <c r="K367" i="37" s="1"/>
  <c r="E367" i="37" s="1"/>
  <c r="N359" i="20"/>
  <c r="Q359" i="20" s="1"/>
  <c r="K368" i="37" s="1"/>
  <c r="E368" i="37" s="1"/>
  <c r="J337" i="20"/>
  <c r="N337" i="20" s="1"/>
  <c r="Q337" i="20" s="1"/>
  <c r="K346" i="37" s="1"/>
  <c r="E346" i="37" s="1"/>
  <c r="J338" i="20"/>
  <c r="N338" i="20"/>
  <c r="Q338" i="20" s="1"/>
  <c r="K347" i="37" s="1"/>
  <c r="E347" i="37" s="1"/>
  <c r="N339" i="20"/>
  <c r="Q339" i="20"/>
  <c r="K348" i="37" s="1"/>
  <c r="E348" i="37" s="1"/>
  <c r="J340" i="20"/>
  <c r="N340" i="20" s="1"/>
  <c r="Q340" i="20" s="1"/>
  <c r="K349" i="37" s="1"/>
  <c r="E349" i="37" s="1"/>
  <c r="N341" i="20"/>
  <c r="Q341" i="20"/>
  <c r="K350" i="37" s="1"/>
  <c r="E350" i="37" s="1"/>
  <c r="N342" i="20"/>
  <c r="Q342" i="20"/>
  <c r="K351" i="37" s="1"/>
  <c r="E351" i="37" s="1"/>
  <c r="J343" i="20"/>
  <c r="N343" i="20" s="1"/>
  <c r="Q343" i="20" s="1"/>
  <c r="K352" i="37" s="1"/>
  <c r="E352" i="37" s="1"/>
  <c r="J344" i="20"/>
  <c r="N344" i="20" s="1"/>
  <c r="Q344" i="20" s="1"/>
  <c r="K353" i="37" s="1"/>
  <c r="E353" i="37" s="1"/>
  <c r="J345" i="20"/>
  <c r="N345" i="20"/>
  <c r="Q345" i="20" s="1"/>
  <c r="K354" i="37" s="1"/>
  <c r="E354" i="37" s="1"/>
  <c r="J346" i="20"/>
  <c r="N346" i="20" s="1"/>
  <c r="Q346" i="20" s="1"/>
  <c r="K355" i="37" s="1"/>
  <c r="E355" i="37" s="1"/>
  <c r="I347" i="20"/>
  <c r="N347" i="20" s="1"/>
  <c r="Q347" i="20" s="1"/>
  <c r="K356" i="37" s="1"/>
  <c r="E356" i="37" s="1"/>
  <c r="I348" i="20"/>
  <c r="N348" i="20"/>
  <c r="Q348" i="20"/>
  <c r="K357" i="37" s="1"/>
  <c r="E357" i="37" s="1"/>
  <c r="J351" i="20"/>
  <c r="N351" i="20" s="1"/>
  <c r="Q351" i="20" s="1"/>
  <c r="K358" i="37" s="1"/>
  <c r="E358" i="37" s="1"/>
  <c r="J352" i="20"/>
  <c r="N352" i="20" s="1"/>
  <c r="Q352" i="20" s="1"/>
  <c r="K359" i="37" s="1"/>
  <c r="E359" i="37" s="1"/>
  <c r="J353" i="20"/>
  <c r="N353" i="20"/>
  <c r="Q353" i="20" s="1"/>
  <c r="K360" i="37" s="1"/>
  <c r="E360" i="37" s="1"/>
  <c r="J354" i="20"/>
  <c r="N354" i="20" s="1"/>
  <c r="Q354" i="20" s="1"/>
  <c r="K361" i="37" s="1"/>
  <c r="E361" i="37" s="1"/>
  <c r="J355" i="20"/>
  <c r="N355" i="20"/>
  <c r="Q355" i="20" s="1"/>
  <c r="K362" i="37" s="1"/>
  <c r="E362" i="37" s="1"/>
  <c r="N356" i="20"/>
  <c r="Q356" i="20" s="1"/>
  <c r="K363" i="37" s="1"/>
  <c r="E363" i="37" s="1"/>
  <c r="N357" i="20"/>
  <c r="Q357" i="20" s="1"/>
  <c r="K364" i="37" s="1"/>
  <c r="E364" i="37" s="1"/>
  <c r="N349" i="20"/>
  <c r="Q349" i="20" s="1"/>
  <c r="K365" i="37" s="1"/>
  <c r="E365" i="37" s="1"/>
  <c r="N350" i="20"/>
  <c r="Q350" i="20" s="1"/>
  <c r="K366" i="37" s="1"/>
  <c r="E366" i="37" s="1"/>
  <c r="I304" i="20"/>
  <c r="N304" i="20" s="1"/>
  <c r="Q304" i="20" s="1"/>
  <c r="K344" i="37" s="1"/>
  <c r="E344" i="37" s="1"/>
  <c r="I305" i="20"/>
  <c r="N305" i="20"/>
  <c r="Q305" i="20" s="1"/>
  <c r="K345" i="37" s="1"/>
  <c r="E345" i="37" s="1"/>
  <c r="I243" i="20"/>
  <c r="N243" i="20" s="1"/>
  <c r="K243" i="20"/>
  <c r="I244" i="20"/>
  <c r="K244" i="20"/>
  <c r="I245" i="20"/>
  <c r="N245" i="20" s="1"/>
  <c r="K245" i="20"/>
  <c r="J196" i="20"/>
  <c r="N196" i="20"/>
  <c r="J198" i="20"/>
  <c r="N198" i="20"/>
  <c r="J199" i="20"/>
  <c r="N199" i="20"/>
  <c r="J197" i="20"/>
  <c r="N197" i="20" s="1"/>
  <c r="I229" i="20"/>
  <c r="K229" i="20"/>
  <c r="N229" i="20"/>
  <c r="I230" i="20"/>
  <c r="K230" i="20"/>
  <c r="I231" i="20"/>
  <c r="N231" i="20" s="1"/>
  <c r="K231" i="20"/>
  <c r="I232" i="20"/>
  <c r="K232" i="20"/>
  <c r="N232" i="20"/>
  <c r="I233" i="20"/>
  <c r="K233" i="20"/>
  <c r="I234" i="20"/>
  <c r="N234" i="20" s="1"/>
  <c r="K234" i="20"/>
  <c r="I235" i="20"/>
  <c r="N235" i="20" s="1"/>
  <c r="K235" i="20"/>
  <c r="I241" i="20"/>
  <c r="N241" i="20" s="1"/>
  <c r="I242" i="20"/>
  <c r="N242" i="20" s="1"/>
  <c r="I236" i="20"/>
  <c r="K236" i="20"/>
  <c r="N236" i="20"/>
  <c r="I237" i="20"/>
  <c r="K237" i="20"/>
  <c r="I238" i="20"/>
  <c r="N238" i="20" s="1"/>
  <c r="I239" i="20"/>
  <c r="N239" i="20" s="1"/>
  <c r="I240" i="20"/>
  <c r="N240" i="20" s="1"/>
  <c r="I450" i="20"/>
  <c r="J450" i="20"/>
  <c r="K450" i="20"/>
  <c r="I454" i="20"/>
  <c r="J454" i="20"/>
  <c r="K454" i="20"/>
  <c r="I451" i="20"/>
  <c r="N451" i="20" s="1"/>
  <c r="N452" i="20"/>
  <c r="Q452" i="20" s="1"/>
  <c r="K380" i="37" s="1"/>
  <c r="E380" i="37" s="1"/>
  <c r="I481" i="20"/>
  <c r="N481" i="20" s="1"/>
  <c r="I485" i="20"/>
  <c r="I486" i="20" s="1"/>
  <c r="N486" i="20" s="1"/>
  <c r="P482" i="20" s="1"/>
  <c r="N482" i="20"/>
  <c r="I483" i="20"/>
  <c r="N483" i="20" s="1"/>
  <c r="Q483" i="20" s="1"/>
  <c r="K383" i="37" s="1"/>
  <c r="E383" i="37" s="1"/>
  <c r="N487" i="20"/>
  <c r="P483" i="20"/>
  <c r="J383" i="37" s="1"/>
  <c r="D383" i="37" s="1"/>
  <c r="I421" i="20"/>
  <c r="N421" i="20" s="1"/>
  <c r="Q421" i="20" s="1"/>
  <c r="K377" i="37" s="1"/>
  <c r="E377" i="37" s="1"/>
  <c r="N390" i="20"/>
  <c r="R390" i="20"/>
  <c r="L374" i="37" s="1"/>
  <c r="F374" i="37" s="1"/>
  <c r="N391" i="20"/>
  <c r="R391" i="20" s="1"/>
  <c r="L375" i="37" s="1"/>
  <c r="F375" i="37" s="1"/>
  <c r="G201" i="29"/>
  <c r="E201" i="29"/>
  <c r="C205" i="29"/>
  <c r="E205" i="29"/>
  <c r="E196" i="29"/>
  <c r="C196" i="29"/>
  <c r="C197" i="29"/>
  <c r="E197" i="29"/>
  <c r="C199" i="29"/>
  <c r="E199" i="29"/>
  <c r="E59" i="29"/>
  <c r="E58" i="29"/>
  <c r="E57" i="29"/>
  <c r="E56" i="29"/>
  <c r="E55" i="29"/>
  <c r="E54" i="29"/>
  <c r="E53" i="29"/>
  <c r="E52" i="29"/>
  <c r="E51" i="29"/>
  <c r="G61" i="29"/>
  <c r="E61" i="29"/>
  <c r="C61" i="29"/>
  <c r="C43" i="29"/>
  <c r="E43" i="29"/>
  <c r="G789" i="29"/>
  <c r="E789" i="29"/>
  <c r="C789" i="29"/>
  <c r="E788" i="29"/>
  <c r="E90" i="29"/>
  <c r="E137" i="29"/>
  <c r="G546" i="20"/>
  <c r="D546" i="20"/>
  <c r="E546" i="20" s="1"/>
  <c r="F546" i="20" s="1"/>
  <c r="M541" i="20"/>
  <c r="L541" i="20"/>
  <c r="K541" i="20"/>
  <c r="J541" i="20"/>
  <c r="I541" i="20"/>
  <c r="E763" i="29"/>
  <c r="E785" i="29"/>
  <c r="E784" i="29"/>
  <c r="C566" i="29"/>
  <c r="C567" i="29"/>
  <c r="E566" i="29"/>
  <c r="E567" i="29"/>
  <c r="C565" i="29"/>
  <c r="C564" i="29"/>
  <c r="C563" i="29"/>
  <c r="E565" i="29"/>
  <c r="E564" i="29"/>
  <c r="E563" i="29"/>
  <c r="G571" i="29"/>
  <c r="G570" i="29"/>
  <c r="G569" i="29"/>
  <c r="C571" i="29"/>
  <c r="C570" i="29"/>
  <c r="C569" i="29"/>
  <c r="C559" i="29"/>
  <c r="C556" i="29"/>
  <c r="C555" i="29"/>
  <c r="C554" i="29"/>
  <c r="E571" i="29"/>
  <c r="E570" i="29"/>
  <c r="E569" i="29"/>
  <c r="E559" i="29"/>
  <c r="C553" i="29"/>
  <c r="E556" i="29"/>
  <c r="E555" i="29"/>
  <c r="E554" i="29"/>
  <c r="E553" i="29"/>
  <c r="E552" i="29"/>
  <c r="C552" i="29"/>
  <c r="C551" i="29"/>
  <c r="E551" i="29"/>
  <c r="G245" i="29"/>
  <c r="G244" i="29"/>
  <c r="G243" i="29"/>
  <c r="G252" i="29"/>
  <c r="C252" i="29"/>
  <c r="G246" i="29"/>
  <c r="C399" i="29"/>
  <c r="C396" i="29"/>
  <c r="C395" i="29"/>
  <c r="C394" i="29"/>
  <c r="C393" i="29"/>
  <c r="C392" i="29"/>
  <c r="C391" i="29"/>
  <c r="C390" i="29"/>
  <c r="C389" i="29"/>
  <c r="C388" i="29"/>
  <c r="C387" i="29"/>
  <c r="C386" i="29"/>
  <c r="C385" i="29"/>
  <c r="C384" i="29"/>
  <c r="C381" i="29"/>
  <c r="C380" i="29"/>
  <c r="C377" i="29"/>
  <c r="C376" i="29"/>
  <c r="C375" i="29"/>
  <c r="C374" i="29"/>
  <c r="C373" i="29"/>
  <c r="C372" i="29"/>
  <c r="C371" i="29"/>
  <c r="C370" i="29"/>
  <c r="C369" i="29"/>
  <c r="C368" i="29"/>
  <c r="C367" i="29"/>
  <c r="C366" i="29"/>
  <c r="C365" i="29"/>
  <c r="C364" i="29"/>
  <c r="C363" i="29"/>
  <c r="C362" i="29"/>
  <c r="C361" i="29"/>
  <c r="C360" i="29"/>
  <c r="C359" i="29"/>
  <c r="C358" i="29"/>
  <c r="C357" i="29"/>
  <c r="C356" i="29"/>
  <c r="C355" i="29"/>
  <c r="C354" i="29"/>
  <c r="C353" i="29"/>
  <c r="C350" i="29"/>
  <c r="C349" i="29"/>
  <c r="C348" i="29"/>
  <c r="C347" i="29"/>
  <c r="C346" i="29"/>
  <c r="C345" i="29"/>
  <c r="C344" i="29"/>
  <c r="C343" i="29"/>
  <c r="C342" i="29"/>
  <c r="C341" i="29"/>
  <c r="C340" i="29"/>
  <c r="C339" i="29"/>
  <c r="C338" i="29"/>
  <c r="C335" i="29"/>
  <c r="C334" i="29"/>
  <c r="C333" i="29"/>
  <c r="C332" i="29"/>
  <c r="C331" i="29"/>
  <c r="C330" i="29"/>
  <c r="C329" i="29"/>
  <c r="C328" i="29"/>
  <c r="C327" i="29"/>
  <c r="C326" i="29"/>
  <c r="C325" i="29"/>
  <c r="C324" i="29"/>
  <c r="C323" i="29"/>
  <c r="C322" i="29"/>
  <c r="C321" i="29"/>
  <c r="C320" i="29"/>
  <c r="C319" i="29"/>
  <c r="C318" i="29"/>
  <c r="C317" i="29"/>
  <c r="C316" i="29"/>
  <c r="C315" i="29"/>
  <c r="C314" i="29"/>
  <c r="C313" i="29"/>
  <c r="C310" i="29"/>
  <c r="C309" i="29"/>
  <c r="C308" i="29"/>
  <c r="C307" i="29"/>
  <c r="C304" i="29"/>
  <c r="C303" i="29"/>
  <c r="C302" i="29"/>
  <c r="C301" i="29"/>
  <c r="C300" i="29"/>
  <c r="C299" i="29"/>
  <c r="C298" i="29"/>
  <c r="C297" i="29"/>
  <c r="C296" i="29"/>
  <c r="C293" i="29"/>
  <c r="C292" i="29"/>
  <c r="C291" i="29"/>
  <c r="C290" i="29"/>
  <c r="C289" i="29"/>
  <c r="C288" i="29"/>
  <c r="C285" i="29"/>
  <c r="C284" i="29"/>
  <c r="C283" i="29"/>
  <c r="C282" i="29"/>
  <c r="C281" i="29"/>
  <c r="C280" i="29"/>
  <c r="C279" i="29"/>
  <c r="C278" i="29"/>
  <c r="C277" i="29"/>
  <c r="C274" i="29"/>
  <c r="C273" i="29"/>
  <c r="C272" i="29"/>
  <c r="C271" i="29"/>
  <c r="C270" i="29"/>
  <c r="C269" i="29"/>
  <c r="C268" i="29"/>
  <c r="C267" i="29"/>
  <c r="C266" i="29"/>
  <c r="C265" i="29"/>
  <c r="C264" i="29"/>
  <c r="C263" i="29"/>
  <c r="C262" i="29"/>
  <c r="C261" i="29"/>
  <c r="C260" i="29"/>
  <c r="C259" i="29"/>
  <c r="G304" i="29"/>
  <c r="E304" i="29"/>
  <c r="G303" i="29"/>
  <c r="E303" i="29"/>
  <c r="G302" i="29"/>
  <c r="E302" i="29"/>
  <c r="G301" i="29"/>
  <c r="E301" i="29"/>
  <c r="G300" i="29"/>
  <c r="E300" i="29"/>
  <c r="E293" i="29"/>
  <c r="E292" i="29"/>
  <c r="E291" i="29"/>
  <c r="E290" i="29"/>
  <c r="E289" i="29"/>
  <c r="E285" i="29"/>
  <c r="E284" i="29"/>
  <c r="E283" i="29"/>
  <c r="E282" i="29"/>
  <c r="E281" i="29"/>
  <c r="E280" i="29"/>
  <c r="E279" i="29"/>
  <c r="E278" i="29"/>
  <c r="E277" i="29"/>
  <c r="E274" i="29"/>
  <c r="E273" i="29"/>
  <c r="E272" i="29"/>
  <c r="E271" i="29"/>
  <c r="E270" i="29"/>
  <c r="E269" i="29"/>
  <c r="E268" i="29"/>
  <c r="E267" i="29"/>
  <c r="E266" i="29"/>
  <c r="E265" i="29"/>
  <c r="E264" i="29"/>
  <c r="E263" i="29"/>
  <c r="E262" i="29"/>
  <c r="E261" i="29"/>
  <c r="E260" i="29"/>
  <c r="E259" i="29"/>
  <c r="E288" i="29"/>
  <c r="E299" i="29"/>
  <c r="E298" i="29"/>
  <c r="E297" i="29"/>
  <c r="E296" i="29"/>
  <c r="E310" i="29"/>
  <c r="E309" i="29"/>
  <c r="E308" i="29"/>
  <c r="E307" i="29"/>
  <c r="E335" i="29"/>
  <c r="E334" i="29"/>
  <c r="E333" i="29"/>
  <c r="E332" i="29"/>
  <c r="E331" i="29"/>
  <c r="E330" i="29"/>
  <c r="E329" i="29"/>
  <c r="E328" i="29"/>
  <c r="E327" i="29"/>
  <c r="E326" i="29"/>
  <c r="E325" i="29"/>
  <c r="E324" i="29"/>
  <c r="E323" i="29"/>
  <c r="E322" i="29"/>
  <c r="E321" i="29"/>
  <c r="E320" i="29"/>
  <c r="E319" i="29"/>
  <c r="E318" i="29"/>
  <c r="E317" i="29"/>
  <c r="E316" i="29"/>
  <c r="E315" i="29"/>
  <c r="E314" i="29"/>
  <c r="E313" i="29"/>
  <c r="E350" i="29"/>
  <c r="E349" i="29"/>
  <c r="E348" i="29"/>
  <c r="E347" i="29"/>
  <c r="E346" i="29"/>
  <c r="E345" i="29"/>
  <c r="E344" i="29"/>
  <c r="E343" i="29"/>
  <c r="E342" i="29"/>
  <c r="E341" i="29"/>
  <c r="E340" i="29"/>
  <c r="E339" i="29"/>
  <c r="E338" i="29"/>
  <c r="E373" i="29"/>
  <c r="E372" i="29"/>
  <c r="E371" i="29"/>
  <c r="E370" i="29"/>
  <c r="E369" i="29"/>
  <c r="E368" i="29"/>
  <c r="E367" i="29"/>
  <c r="E366" i="29"/>
  <c r="E365" i="29"/>
  <c r="E364" i="29"/>
  <c r="E363" i="29"/>
  <c r="E362" i="29"/>
  <c r="E361" i="29"/>
  <c r="E360" i="29"/>
  <c r="E359" i="29"/>
  <c r="E358" i="29"/>
  <c r="E357" i="29"/>
  <c r="E356" i="29"/>
  <c r="E355" i="29"/>
  <c r="E354" i="29"/>
  <c r="E353" i="29"/>
  <c r="E399" i="29"/>
  <c r="E396" i="29"/>
  <c r="E395" i="29"/>
  <c r="E394" i="29"/>
  <c r="E393" i="29"/>
  <c r="E392" i="29"/>
  <c r="E391" i="29"/>
  <c r="E390" i="29"/>
  <c r="E389" i="29"/>
  <c r="E388" i="29"/>
  <c r="E387" i="29"/>
  <c r="E386" i="29"/>
  <c r="E385" i="29"/>
  <c r="E384" i="29"/>
  <c r="E381" i="29"/>
  <c r="E380" i="29"/>
  <c r="E376" i="29"/>
  <c r="E375" i="29"/>
  <c r="G377" i="29"/>
  <c r="E377" i="29"/>
  <c r="E374" i="29"/>
  <c r="D222" i="38"/>
  <c r="E222" i="38" s="1"/>
  <c r="F222" i="38" s="1"/>
  <c r="D223" i="38"/>
  <c r="E223" i="38" s="1"/>
  <c r="F223" i="38" s="1"/>
  <c r="J604" i="37"/>
  <c r="D604" i="37" s="1"/>
  <c r="K604" i="37"/>
  <c r="E604" i="37" s="1"/>
  <c r="G261" i="38"/>
  <c r="D261" i="38"/>
  <c r="E261" i="38" s="1"/>
  <c r="F261" i="38" s="1"/>
  <c r="J603" i="37"/>
  <c r="D603" i="37" s="1"/>
  <c r="K603" i="37"/>
  <c r="E603" i="37" s="1"/>
  <c r="G260" i="38"/>
  <c r="D260" i="38"/>
  <c r="E260" i="38" s="1"/>
  <c r="F260" i="38" s="1"/>
  <c r="J602" i="37"/>
  <c r="D602" i="37" s="1"/>
  <c r="K602" i="37"/>
  <c r="E602" i="37" s="1"/>
  <c r="G259" i="38"/>
  <c r="D259" i="38"/>
  <c r="E259" i="38" s="1"/>
  <c r="F259" i="38" s="1"/>
  <c r="J601" i="37"/>
  <c r="D601" i="37" s="1"/>
  <c r="K601" i="37"/>
  <c r="E601" i="37" s="1"/>
  <c r="G258" i="38"/>
  <c r="D258" i="38"/>
  <c r="E258" i="38" s="1"/>
  <c r="F258" i="38" s="1"/>
  <c r="J600" i="37"/>
  <c r="D600" i="37" s="1"/>
  <c r="K600" i="37"/>
  <c r="E600" i="37" s="1"/>
  <c r="G257" i="38"/>
  <c r="D257" i="38"/>
  <c r="E257" i="38" s="1"/>
  <c r="F257" i="38" s="1"/>
  <c r="J599" i="37"/>
  <c r="D599" i="37" s="1"/>
  <c r="K599" i="37"/>
  <c r="E599" i="37" s="1"/>
  <c r="G256" i="38"/>
  <c r="D256" i="38"/>
  <c r="E256" i="38" s="1"/>
  <c r="F256" i="38" s="1"/>
  <c r="J598" i="37"/>
  <c r="D598" i="37" s="1"/>
  <c r="K598" i="37"/>
  <c r="E598" i="37" s="1"/>
  <c r="G255" i="38"/>
  <c r="D255" i="38"/>
  <c r="E255" i="38" s="1"/>
  <c r="F255" i="38" s="1"/>
  <c r="J597" i="37"/>
  <c r="D597" i="37" s="1"/>
  <c r="K597" i="37"/>
  <c r="E597" i="37" s="1"/>
  <c r="G254" i="38"/>
  <c r="D254" i="38"/>
  <c r="E254" i="38" s="1"/>
  <c r="F254" i="38" s="1"/>
  <c r="J596" i="37"/>
  <c r="D596" i="37" s="1"/>
  <c r="K596" i="37"/>
  <c r="E596" i="37" s="1"/>
  <c r="G253" i="38"/>
  <c r="D253" i="38"/>
  <c r="E253" i="38" s="1"/>
  <c r="F253" i="38" s="1"/>
  <c r="J595" i="37"/>
  <c r="D595" i="37" s="1"/>
  <c r="K595" i="37"/>
  <c r="E595" i="37" s="1"/>
  <c r="G252" i="38"/>
  <c r="D252" i="38"/>
  <c r="E252" i="38" s="1"/>
  <c r="F252" i="38" s="1"/>
  <c r="J594" i="37"/>
  <c r="D594" i="37" s="1"/>
  <c r="K594" i="37"/>
  <c r="E594" i="37" s="1"/>
  <c r="G251" i="38"/>
  <c r="D251" i="38"/>
  <c r="E251" i="38" s="1"/>
  <c r="F251" i="38" s="1"/>
  <c r="J593" i="37"/>
  <c r="D593" i="37" s="1"/>
  <c r="K593" i="37"/>
  <c r="E593" i="37" s="1"/>
  <c r="G250" i="38"/>
  <c r="D250" i="38"/>
  <c r="E250" i="38" s="1"/>
  <c r="F250" i="38" s="1"/>
  <c r="J592" i="37"/>
  <c r="D592" i="37" s="1"/>
  <c r="K592" i="37"/>
  <c r="E592" i="37" s="1"/>
  <c r="G249" i="38"/>
  <c r="D249" i="38"/>
  <c r="E249" i="38" s="1"/>
  <c r="F249" i="38" s="1"/>
  <c r="J591" i="37"/>
  <c r="D591" i="37" s="1"/>
  <c r="K591" i="37"/>
  <c r="E591" i="37" s="1"/>
  <c r="G248" i="38"/>
  <c r="D248" i="38"/>
  <c r="E248" i="38" s="1"/>
  <c r="F248" i="38" s="1"/>
  <c r="J590" i="37"/>
  <c r="D590" i="37" s="1"/>
  <c r="K590" i="37"/>
  <c r="E590" i="37" s="1"/>
  <c r="G247" i="38"/>
  <c r="D247" i="38"/>
  <c r="E247" i="38" s="1"/>
  <c r="F247" i="38" s="1"/>
  <c r="J589" i="37"/>
  <c r="D589" i="37" s="1"/>
  <c r="K589" i="37"/>
  <c r="E589" i="37" s="1"/>
  <c r="G246" i="38"/>
  <c r="D246" i="38"/>
  <c r="E246" i="38" s="1"/>
  <c r="F246" i="38" s="1"/>
  <c r="J588" i="37"/>
  <c r="D588" i="37" s="1"/>
  <c r="K588" i="37"/>
  <c r="E588" i="37" s="1"/>
  <c r="G245" i="38"/>
  <c r="D245" i="38"/>
  <c r="E245" i="38" s="1"/>
  <c r="F245" i="38" s="1"/>
  <c r="J587" i="37"/>
  <c r="D587" i="37" s="1"/>
  <c r="K587" i="37"/>
  <c r="E587" i="37" s="1"/>
  <c r="G244" i="38"/>
  <c r="D244" i="38"/>
  <c r="E244" i="38" s="1"/>
  <c r="F244" i="38" s="1"/>
  <c r="J586" i="37"/>
  <c r="D586" i="37" s="1"/>
  <c r="K586" i="37"/>
  <c r="E586" i="37" s="1"/>
  <c r="G243" i="38"/>
  <c r="D243" i="38"/>
  <c r="E243" i="38" s="1"/>
  <c r="F243" i="38" s="1"/>
  <c r="J585" i="37"/>
  <c r="D585" i="37" s="1"/>
  <c r="K585" i="37"/>
  <c r="E585" i="37" s="1"/>
  <c r="G242" i="38"/>
  <c r="D242" i="38"/>
  <c r="E242" i="38" s="1"/>
  <c r="F242" i="38" s="1"/>
  <c r="J584" i="37"/>
  <c r="D584" i="37" s="1"/>
  <c r="K584" i="37"/>
  <c r="E584" i="37" s="1"/>
  <c r="G241" i="38"/>
  <c r="D241" i="38"/>
  <c r="E241" i="38" s="1"/>
  <c r="F241" i="38" s="1"/>
  <c r="J583" i="37"/>
  <c r="D583" i="37" s="1"/>
  <c r="K583" i="37"/>
  <c r="E583" i="37" s="1"/>
  <c r="G240" i="38"/>
  <c r="D240" i="38"/>
  <c r="E240" i="38" s="1"/>
  <c r="F240" i="38" s="1"/>
  <c r="J582" i="37"/>
  <c r="D582" i="37" s="1"/>
  <c r="K582" i="37"/>
  <c r="E582" i="37" s="1"/>
  <c r="G239" i="38"/>
  <c r="D239" i="38"/>
  <c r="E239" i="38" s="1"/>
  <c r="F239" i="38" s="1"/>
  <c r="J581" i="37"/>
  <c r="D581" i="37" s="1"/>
  <c r="K581" i="37"/>
  <c r="E581" i="37" s="1"/>
  <c r="G238" i="38"/>
  <c r="D238" i="38"/>
  <c r="E238" i="38" s="1"/>
  <c r="F238" i="38" s="1"/>
  <c r="J580" i="37"/>
  <c r="D580" i="37" s="1"/>
  <c r="K580" i="37"/>
  <c r="E580" i="37" s="1"/>
  <c r="G237" i="38"/>
  <c r="D237" i="38"/>
  <c r="E237" i="38" s="1"/>
  <c r="F237" i="38" s="1"/>
  <c r="J579" i="37"/>
  <c r="D579" i="37" s="1"/>
  <c r="K579" i="37"/>
  <c r="E579" i="37" s="1"/>
  <c r="G236" i="38"/>
  <c r="D236" i="38"/>
  <c r="E236" i="38" s="1"/>
  <c r="F236" i="38" s="1"/>
  <c r="J578" i="37"/>
  <c r="D578" i="37" s="1"/>
  <c r="K578" i="37"/>
  <c r="E578" i="37" s="1"/>
  <c r="G235" i="38"/>
  <c r="D235" i="38"/>
  <c r="E235" i="38" s="1"/>
  <c r="F235" i="38" s="1"/>
  <c r="J577" i="37"/>
  <c r="D577" i="37" s="1"/>
  <c r="K577" i="37"/>
  <c r="E577" i="37" s="1"/>
  <c r="G234" i="38"/>
  <c r="D234" i="38"/>
  <c r="E234" i="38" s="1"/>
  <c r="F234" i="38" s="1"/>
  <c r="J576" i="37"/>
  <c r="D576" i="37" s="1"/>
  <c r="K576" i="37"/>
  <c r="E576" i="37" s="1"/>
  <c r="G233" i="38"/>
  <c r="D233" i="38"/>
  <c r="E233" i="38" s="1"/>
  <c r="F233" i="38" s="1"/>
  <c r="J575" i="37"/>
  <c r="D575" i="37" s="1"/>
  <c r="K575" i="37"/>
  <c r="E575" i="37" s="1"/>
  <c r="G232" i="38"/>
  <c r="D232" i="38"/>
  <c r="E232" i="38" s="1"/>
  <c r="F232" i="38" s="1"/>
  <c r="J574" i="37"/>
  <c r="D574" i="37" s="1"/>
  <c r="K574" i="37"/>
  <c r="E574" i="37" s="1"/>
  <c r="G231" i="38"/>
  <c r="D231" i="38"/>
  <c r="E231" i="38" s="1"/>
  <c r="F231" i="38" s="1"/>
  <c r="J573" i="37"/>
  <c r="D573" i="37" s="1"/>
  <c r="K573" i="37"/>
  <c r="E573" i="37" s="1"/>
  <c r="G230" i="38"/>
  <c r="D230" i="38"/>
  <c r="E230" i="38" s="1"/>
  <c r="F230" i="38" s="1"/>
  <c r="J572" i="37"/>
  <c r="D572" i="37" s="1"/>
  <c r="K572" i="37"/>
  <c r="E572" i="37" s="1"/>
  <c r="G229" i="38"/>
  <c r="D229" i="38"/>
  <c r="E229" i="38" s="1"/>
  <c r="F229" i="38" s="1"/>
  <c r="J571" i="37"/>
  <c r="D571" i="37" s="1"/>
  <c r="K571" i="37"/>
  <c r="E571" i="37" s="1"/>
  <c r="G228" i="38"/>
  <c r="D228" i="38"/>
  <c r="E228" i="38" s="1"/>
  <c r="F228" i="38" s="1"/>
  <c r="J570" i="37"/>
  <c r="D570" i="37" s="1"/>
  <c r="K570" i="37"/>
  <c r="E570" i="37" s="1"/>
  <c r="G227" i="38"/>
  <c r="D227" i="38"/>
  <c r="E227" i="38" s="1"/>
  <c r="F227" i="38" s="1"/>
  <c r="J569" i="37"/>
  <c r="D569" i="37" s="1"/>
  <c r="K569" i="37"/>
  <c r="E569" i="37" s="1"/>
  <c r="G226" i="38"/>
  <c r="D226" i="38"/>
  <c r="E226" i="38" s="1"/>
  <c r="F226" i="38" s="1"/>
  <c r="J568" i="37"/>
  <c r="D568" i="37" s="1"/>
  <c r="K568" i="37"/>
  <c r="E568" i="37" s="1"/>
  <c r="G225" i="38"/>
  <c r="D225" i="38"/>
  <c r="E225" i="38" s="1"/>
  <c r="F225" i="38" s="1"/>
  <c r="J567" i="37"/>
  <c r="D567" i="37" s="1"/>
  <c r="K567" i="37"/>
  <c r="E567" i="37" s="1"/>
  <c r="G224" i="38"/>
  <c r="D224" i="38"/>
  <c r="E224" i="38" s="1"/>
  <c r="F224" i="38" s="1"/>
  <c r="J566" i="37"/>
  <c r="D566" i="37" s="1"/>
  <c r="K566" i="37"/>
  <c r="E566" i="37" s="1"/>
  <c r="G223" i="38"/>
  <c r="J565" i="37"/>
  <c r="D565" i="37" s="1"/>
  <c r="K565" i="37"/>
  <c r="E565" i="37" s="1"/>
  <c r="G222" i="38"/>
  <c r="J564" i="37"/>
  <c r="D564" i="37" s="1"/>
  <c r="K564" i="37"/>
  <c r="E564" i="37" s="1"/>
  <c r="G221" i="38"/>
  <c r="D221" i="38"/>
  <c r="E221" i="38" s="1"/>
  <c r="F221" i="38" s="1"/>
  <c r="J563" i="37"/>
  <c r="D563" i="37" s="1"/>
  <c r="K563" i="37"/>
  <c r="E563" i="37" s="1"/>
  <c r="G220" i="38"/>
  <c r="D220" i="38"/>
  <c r="E220" i="38" s="1"/>
  <c r="F220" i="38" s="1"/>
  <c r="J562" i="37"/>
  <c r="D562" i="37" s="1"/>
  <c r="K562" i="37"/>
  <c r="E562" i="37" s="1"/>
  <c r="G219" i="38"/>
  <c r="D219" i="38"/>
  <c r="E219" i="38" s="1"/>
  <c r="F219" i="38" s="1"/>
  <c r="J561" i="37"/>
  <c r="D561" i="37" s="1"/>
  <c r="K561" i="37"/>
  <c r="E561" i="37" s="1"/>
  <c r="G218" i="38"/>
  <c r="D218" i="38"/>
  <c r="E218" i="38" s="1"/>
  <c r="F218" i="38" s="1"/>
  <c r="J560" i="37"/>
  <c r="D560" i="37" s="1"/>
  <c r="K560" i="37"/>
  <c r="E560" i="37" s="1"/>
  <c r="G217" i="38"/>
  <c r="D217" i="38"/>
  <c r="E217" i="38" s="1"/>
  <c r="F217" i="38" s="1"/>
  <c r="J559" i="37"/>
  <c r="D559" i="37" s="1"/>
  <c r="K559" i="37"/>
  <c r="E559" i="37" s="1"/>
  <c r="G216" i="38"/>
  <c r="D216" i="38"/>
  <c r="E216" i="38" s="1"/>
  <c r="F216" i="38" s="1"/>
  <c r="J558" i="37"/>
  <c r="D558" i="37" s="1"/>
  <c r="K558" i="37"/>
  <c r="E558" i="37" s="1"/>
  <c r="G215" i="38"/>
  <c r="D215" i="38"/>
  <c r="E215" i="38" s="1"/>
  <c r="F215" i="38" s="1"/>
  <c r="J557" i="37"/>
  <c r="D557" i="37" s="1"/>
  <c r="K557" i="37"/>
  <c r="E557" i="37" s="1"/>
  <c r="G214" i="38"/>
  <c r="D214" i="38"/>
  <c r="E214" i="38" s="1"/>
  <c r="F214" i="38" s="1"/>
  <c r="J556" i="37"/>
  <c r="D556" i="37" s="1"/>
  <c r="K556" i="37"/>
  <c r="E556" i="37" s="1"/>
  <c r="G213" i="38"/>
  <c r="D213" i="38"/>
  <c r="E213" i="38" s="1"/>
  <c r="F213" i="38" s="1"/>
  <c r="J555" i="37"/>
  <c r="D555" i="37" s="1"/>
  <c r="K555" i="37"/>
  <c r="E555" i="37" s="1"/>
  <c r="G212" i="38"/>
  <c r="D212" i="38"/>
  <c r="E212" i="38" s="1"/>
  <c r="F212" i="38" s="1"/>
  <c r="J554" i="37"/>
  <c r="D554" i="37" s="1"/>
  <c r="K554" i="37"/>
  <c r="E554" i="37" s="1"/>
  <c r="G211" i="38"/>
  <c r="D211" i="38"/>
  <c r="E211" i="38" s="1"/>
  <c r="F211" i="38" s="1"/>
  <c r="J553" i="37"/>
  <c r="D553" i="37" s="1"/>
  <c r="K553" i="37"/>
  <c r="E553" i="37" s="1"/>
  <c r="G210" i="38"/>
  <c r="D210" i="38"/>
  <c r="E210" i="38" s="1"/>
  <c r="F210" i="38" s="1"/>
  <c r="J552" i="37"/>
  <c r="D552" i="37" s="1"/>
  <c r="K552" i="37"/>
  <c r="E552" i="37" s="1"/>
  <c r="G209" i="38"/>
  <c r="D209" i="38"/>
  <c r="E209" i="38" s="1"/>
  <c r="F209" i="38" s="1"/>
  <c r="J551" i="37"/>
  <c r="D551" i="37" s="1"/>
  <c r="K551" i="37"/>
  <c r="E551" i="37" s="1"/>
  <c r="G208" i="38"/>
  <c r="D208" i="38"/>
  <c r="E208" i="38" s="1"/>
  <c r="F208" i="38" s="1"/>
  <c r="J550" i="37"/>
  <c r="D550" i="37" s="1"/>
  <c r="K550" i="37"/>
  <c r="E550" i="37" s="1"/>
  <c r="G207" i="38"/>
  <c r="D207" i="38"/>
  <c r="E207" i="38" s="1"/>
  <c r="F207" i="38" s="1"/>
  <c r="J549" i="37"/>
  <c r="D549" i="37" s="1"/>
  <c r="K549" i="37"/>
  <c r="E549" i="37" s="1"/>
  <c r="G206" i="38"/>
  <c r="D206" i="38"/>
  <c r="E206" i="38" s="1"/>
  <c r="F206" i="38" s="1"/>
  <c r="J548" i="37"/>
  <c r="D548" i="37" s="1"/>
  <c r="K548" i="37"/>
  <c r="E548" i="37" s="1"/>
  <c r="G205" i="38"/>
  <c r="D205" i="38"/>
  <c r="E205" i="38" s="1"/>
  <c r="F205" i="38" s="1"/>
  <c r="J547" i="37"/>
  <c r="D547" i="37" s="1"/>
  <c r="K547" i="37"/>
  <c r="E547" i="37" s="1"/>
  <c r="G204" i="38"/>
  <c r="D204" i="38"/>
  <c r="E204" i="38" s="1"/>
  <c r="F204" i="38" s="1"/>
  <c r="J546" i="37"/>
  <c r="D546" i="37" s="1"/>
  <c r="K546" i="37"/>
  <c r="E546" i="37" s="1"/>
  <c r="G203" i="38"/>
  <c r="D203" i="38"/>
  <c r="E203" i="38" s="1"/>
  <c r="F203" i="38" s="1"/>
  <c r="J545" i="37"/>
  <c r="D545" i="37" s="1"/>
  <c r="K545" i="37"/>
  <c r="E545" i="37" s="1"/>
  <c r="G202" i="38"/>
  <c r="D202" i="38"/>
  <c r="E202" i="38" s="1"/>
  <c r="F202" i="38" s="1"/>
  <c r="J544" i="37"/>
  <c r="D544" i="37" s="1"/>
  <c r="K544" i="37"/>
  <c r="E544" i="37" s="1"/>
  <c r="G201" i="38"/>
  <c r="D201" i="38"/>
  <c r="E201" i="38" s="1"/>
  <c r="F201" i="38" s="1"/>
  <c r="J543" i="37"/>
  <c r="D543" i="37" s="1"/>
  <c r="K543" i="37"/>
  <c r="E543" i="37" s="1"/>
  <c r="G200" i="38"/>
  <c r="D200" i="38"/>
  <c r="E200" i="38" s="1"/>
  <c r="F200" i="38" s="1"/>
  <c r="J542" i="37"/>
  <c r="D542" i="37" s="1"/>
  <c r="K542" i="37"/>
  <c r="E542" i="37" s="1"/>
  <c r="G199" i="38"/>
  <c r="D199" i="38"/>
  <c r="E199" i="38" s="1"/>
  <c r="F199" i="38" s="1"/>
  <c r="J541" i="37"/>
  <c r="D541" i="37" s="1"/>
  <c r="K541" i="37"/>
  <c r="E541" i="37" s="1"/>
  <c r="G198" i="38"/>
  <c r="D198" i="38"/>
  <c r="E198" i="38" s="1"/>
  <c r="F198" i="38" s="1"/>
  <c r="J540" i="37"/>
  <c r="D540" i="37" s="1"/>
  <c r="K540" i="37"/>
  <c r="E540" i="37" s="1"/>
  <c r="G197" i="38"/>
  <c r="D197" i="38"/>
  <c r="E197" i="38" s="1"/>
  <c r="F197" i="38" s="1"/>
  <c r="J539" i="37"/>
  <c r="D539" i="37" s="1"/>
  <c r="K539" i="37"/>
  <c r="E539" i="37" s="1"/>
  <c r="G196" i="38"/>
  <c r="D196" i="38"/>
  <c r="E196" i="38" s="1"/>
  <c r="F196" i="38" s="1"/>
  <c r="J538" i="37"/>
  <c r="D538" i="37" s="1"/>
  <c r="K538" i="37"/>
  <c r="E538" i="37" s="1"/>
  <c r="G195" i="38"/>
  <c r="D195" i="38"/>
  <c r="E195" i="38" s="1"/>
  <c r="F195" i="38" s="1"/>
  <c r="J537" i="37"/>
  <c r="D537" i="37" s="1"/>
  <c r="K537" i="37"/>
  <c r="E537" i="37" s="1"/>
  <c r="G194" i="38"/>
  <c r="D194" i="38"/>
  <c r="E194" i="38" s="1"/>
  <c r="F194" i="38" s="1"/>
  <c r="J536" i="37"/>
  <c r="D536" i="37" s="1"/>
  <c r="K536" i="37"/>
  <c r="E536" i="37" s="1"/>
  <c r="G193" i="38"/>
  <c r="D193" i="38"/>
  <c r="E193" i="38" s="1"/>
  <c r="F193" i="38" s="1"/>
  <c r="J535" i="37"/>
  <c r="D535" i="37" s="1"/>
  <c r="K535" i="37"/>
  <c r="E535" i="37" s="1"/>
  <c r="G192" i="38"/>
  <c r="D192" i="38"/>
  <c r="E192" i="38" s="1"/>
  <c r="F192" i="38" s="1"/>
  <c r="J534" i="37"/>
  <c r="D534" i="37" s="1"/>
  <c r="K534" i="37"/>
  <c r="E534" i="37" s="1"/>
  <c r="G191" i="38"/>
  <c r="D191" i="38"/>
  <c r="E191" i="38" s="1"/>
  <c r="F191" i="38" s="1"/>
  <c r="J533" i="37"/>
  <c r="D533" i="37" s="1"/>
  <c r="K533" i="37"/>
  <c r="E533" i="37" s="1"/>
  <c r="G190" i="38"/>
  <c r="D190" i="38"/>
  <c r="E190" i="38" s="1"/>
  <c r="F190" i="38" s="1"/>
  <c r="J532" i="37"/>
  <c r="D532" i="37" s="1"/>
  <c r="K532" i="37"/>
  <c r="E532" i="37" s="1"/>
  <c r="G189" i="38"/>
  <c r="D189" i="38"/>
  <c r="E189" i="38" s="1"/>
  <c r="F189" i="38" s="1"/>
  <c r="J531" i="37"/>
  <c r="D531" i="37" s="1"/>
  <c r="K531" i="37"/>
  <c r="E531" i="37" s="1"/>
  <c r="G188" i="38"/>
  <c r="D188" i="38"/>
  <c r="E188" i="38" s="1"/>
  <c r="F188" i="38" s="1"/>
  <c r="J530" i="37"/>
  <c r="D530" i="37" s="1"/>
  <c r="K530" i="37"/>
  <c r="E530" i="37" s="1"/>
  <c r="G187" i="38"/>
  <c r="D187" i="38"/>
  <c r="E187" i="38" s="1"/>
  <c r="F187" i="38" s="1"/>
  <c r="J529" i="37"/>
  <c r="D529" i="37" s="1"/>
  <c r="K529" i="37"/>
  <c r="E529" i="37" s="1"/>
  <c r="G186" i="38"/>
  <c r="D186" i="38"/>
  <c r="E186" i="38" s="1"/>
  <c r="F186" i="38" s="1"/>
  <c r="J528" i="37"/>
  <c r="D528" i="37" s="1"/>
  <c r="K528" i="37"/>
  <c r="E528" i="37" s="1"/>
  <c r="G185" i="38"/>
  <c r="D185" i="38"/>
  <c r="E185" i="38" s="1"/>
  <c r="F185" i="38" s="1"/>
  <c r="J527" i="37"/>
  <c r="D527" i="37" s="1"/>
  <c r="K527" i="37"/>
  <c r="E527" i="37" s="1"/>
  <c r="G184" i="38"/>
  <c r="D184" i="38"/>
  <c r="E184" i="38" s="1"/>
  <c r="F184" i="38" s="1"/>
  <c r="J526" i="37"/>
  <c r="D526" i="37" s="1"/>
  <c r="K526" i="37"/>
  <c r="E526" i="37" s="1"/>
  <c r="G183" i="38"/>
  <c r="D183" i="38"/>
  <c r="E183" i="38" s="1"/>
  <c r="F183" i="38" s="1"/>
  <c r="J525" i="37"/>
  <c r="D525" i="37" s="1"/>
  <c r="K525" i="37"/>
  <c r="E525" i="37" s="1"/>
  <c r="G182" i="38"/>
  <c r="D182" i="38"/>
  <c r="E182" i="38" s="1"/>
  <c r="F182" i="38" s="1"/>
  <c r="J524" i="37"/>
  <c r="D524" i="37" s="1"/>
  <c r="K524" i="37"/>
  <c r="E524" i="37" s="1"/>
  <c r="G181" i="38"/>
  <c r="D181" i="38"/>
  <c r="E181" i="38" s="1"/>
  <c r="F181" i="38" s="1"/>
  <c r="J523" i="37"/>
  <c r="D523" i="37" s="1"/>
  <c r="K523" i="37"/>
  <c r="E523" i="37" s="1"/>
  <c r="G180" i="38"/>
  <c r="D180" i="38"/>
  <c r="E180" i="38" s="1"/>
  <c r="F180" i="38" s="1"/>
  <c r="J522" i="37"/>
  <c r="D522" i="37" s="1"/>
  <c r="K522" i="37"/>
  <c r="E522" i="37" s="1"/>
  <c r="G179" i="38"/>
  <c r="D179" i="38"/>
  <c r="E179" i="38" s="1"/>
  <c r="F179" i="38" s="1"/>
  <c r="J521" i="37"/>
  <c r="D521" i="37" s="1"/>
  <c r="K521" i="37"/>
  <c r="E521" i="37" s="1"/>
  <c r="G178" i="38"/>
  <c r="D178" i="38"/>
  <c r="E178" i="38" s="1"/>
  <c r="F178" i="38" s="1"/>
  <c r="J520" i="37"/>
  <c r="D520" i="37" s="1"/>
  <c r="K520" i="37"/>
  <c r="E520" i="37" s="1"/>
  <c r="G177" i="38"/>
  <c r="D177" i="38"/>
  <c r="E177" i="38" s="1"/>
  <c r="F177" i="38" s="1"/>
  <c r="J519" i="37"/>
  <c r="D519" i="37" s="1"/>
  <c r="K519" i="37"/>
  <c r="E519" i="37" s="1"/>
  <c r="G176" i="38"/>
  <c r="D176" i="38"/>
  <c r="E176" i="38" s="1"/>
  <c r="F176" i="38" s="1"/>
  <c r="J518" i="37"/>
  <c r="D518" i="37" s="1"/>
  <c r="K518" i="37"/>
  <c r="E518" i="37" s="1"/>
  <c r="G175" i="38"/>
  <c r="D175" i="38"/>
  <c r="E175" i="38" s="1"/>
  <c r="F175" i="38" s="1"/>
  <c r="J517" i="37"/>
  <c r="D517" i="37" s="1"/>
  <c r="K517" i="37"/>
  <c r="E517" i="37" s="1"/>
  <c r="G174" i="38"/>
  <c r="D174" i="38"/>
  <c r="E174" i="38" s="1"/>
  <c r="F174" i="38" s="1"/>
  <c r="J516" i="37"/>
  <c r="D516" i="37" s="1"/>
  <c r="K516" i="37"/>
  <c r="E516" i="37" s="1"/>
  <c r="G173" i="38"/>
  <c r="D173" i="38"/>
  <c r="E173" i="38" s="1"/>
  <c r="F173" i="38" s="1"/>
  <c r="J515" i="37"/>
  <c r="D515" i="37" s="1"/>
  <c r="K515" i="37"/>
  <c r="E515" i="37" s="1"/>
  <c r="G172" i="38"/>
  <c r="D172" i="38"/>
  <c r="E172" i="38" s="1"/>
  <c r="F172" i="38" s="1"/>
  <c r="J514" i="37"/>
  <c r="D514" i="37" s="1"/>
  <c r="K514" i="37"/>
  <c r="E514" i="37" s="1"/>
  <c r="G171" i="38"/>
  <c r="D171" i="38"/>
  <c r="E171" i="38" s="1"/>
  <c r="F171" i="38" s="1"/>
  <c r="J513" i="37"/>
  <c r="D513" i="37" s="1"/>
  <c r="K513" i="37"/>
  <c r="E513" i="37" s="1"/>
  <c r="G170" i="38"/>
  <c r="D170" i="38"/>
  <c r="E170" i="38" s="1"/>
  <c r="F170" i="38" s="1"/>
  <c r="J512" i="37"/>
  <c r="D512" i="37" s="1"/>
  <c r="K512" i="37"/>
  <c r="E512" i="37" s="1"/>
  <c r="G169" i="38"/>
  <c r="D169" i="38"/>
  <c r="E169" i="38" s="1"/>
  <c r="F169" i="38" s="1"/>
  <c r="J511" i="37"/>
  <c r="D511" i="37" s="1"/>
  <c r="K511" i="37"/>
  <c r="E511" i="37" s="1"/>
  <c r="G168" i="38"/>
  <c r="D168" i="38"/>
  <c r="E168" i="38" s="1"/>
  <c r="F168" i="38" s="1"/>
  <c r="J510" i="37"/>
  <c r="D510" i="37" s="1"/>
  <c r="K510" i="37"/>
  <c r="E510" i="37" s="1"/>
  <c r="G167" i="38"/>
  <c r="D167" i="38"/>
  <c r="E167" i="38" s="1"/>
  <c r="F167" i="38" s="1"/>
  <c r="J509" i="37"/>
  <c r="D509" i="37" s="1"/>
  <c r="K509" i="37"/>
  <c r="E509" i="37" s="1"/>
  <c r="G166" i="38"/>
  <c r="D166" i="38"/>
  <c r="E166" i="38" s="1"/>
  <c r="F166" i="38" s="1"/>
  <c r="J508" i="37"/>
  <c r="D508" i="37" s="1"/>
  <c r="K508" i="37"/>
  <c r="E508" i="37" s="1"/>
  <c r="G165" i="38"/>
  <c r="D165" i="38"/>
  <c r="E165" i="38" s="1"/>
  <c r="F165" i="38" s="1"/>
  <c r="J507" i="37"/>
  <c r="D507" i="37" s="1"/>
  <c r="K507" i="37"/>
  <c r="E507" i="37" s="1"/>
  <c r="G164" i="38"/>
  <c r="D164" i="38"/>
  <c r="E164" i="38" s="1"/>
  <c r="F164" i="38" s="1"/>
  <c r="J506" i="37"/>
  <c r="D506" i="37" s="1"/>
  <c r="K506" i="37"/>
  <c r="E506" i="37" s="1"/>
  <c r="G163" i="38"/>
  <c r="D163" i="38"/>
  <c r="E163" i="38" s="1"/>
  <c r="F163" i="38" s="1"/>
  <c r="J505" i="37"/>
  <c r="D505" i="37" s="1"/>
  <c r="K505" i="37"/>
  <c r="E505" i="37" s="1"/>
  <c r="G162" i="38"/>
  <c r="D162" i="38"/>
  <c r="E162" i="38" s="1"/>
  <c r="F162" i="38" s="1"/>
  <c r="J504" i="37"/>
  <c r="D504" i="37" s="1"/>
  <c r="K504" i="37"/>
  <c r="E504" i="37" s="1"/>
  <c r="G161" i="38"/>
  <c r="D161" i="38"/>
  <c r="E161" i="38" s="1"/>
  <c r="F161" i="38" s="1"/>
  <c r="J503" i="37"/>
  <c r="D503" i="37" s="1"/>
  <c r="K503" i="37"/>
  <c r="E503" i="37" s="1"/>
  <c r="G160" i="38"/>
  <c r="D160" i="38"/>
  <c r="E160" i="38" s="1"/>
  <c r="F160" i="38" s="1"/>
  <c r="J502" i="37"/>
  <c r="D502" i="37" s="1"/>
  <c r="K502" i="37"/>
  <c r="E502" i="37" s="1"/>
  <c r="G159" i="38"/>
  <c r="D159" i="38"/>
  <c r="E159" i="38" s="1"/>
  <c r="F159" i="38" s="1"/>
  <c r="J501" i="37"/>
  <c r="D501" i="37" s="1"/>
  <c r="K501" i="37"/>
  <c r="E501" i="37" s="1"/>
  <c r="G158" i="38"/>
  <c r="D158" i="38"/>
  <c r="E158" i="38" s="1"/>
  <c r="F158" i="38" s="1"/>
  <c r="J500" i="37"/>
  <c r="D500" i="37" s="1"/>
  <c r="K500" i="37"/>
  <c r="E500" i="37" s="1"/>
  <c r="G157" i="38"/>
  <c r="D157" i="38"/>
  <c r="E157" i="38" s="1"/>
  <c r="F157" i="38" s="1"/>
  <c r="J499" i="37"/>
  <c r="D499" i="37" s="1"/>
  <c r="K499" i="37"/>
  <c r="E499" i="37" s="1"/>
  <c r="G156" i="38"/>
  <c r="D156" i="38"/>
  <c r="E156" i="38" s="1"/>
  <c r="F156" i="38" s="1"/>
  <c r="J498" i="37"/>
  <c r="D498" i="37" s="1"/>
  <c r="K498" i="37"/>
  <c r="E498" i="37" s="1"/>
  <c r="G155" i="38"/>
  <c r="D155" i="38"/>
  <c r="E155" i="38" s="1"/>
  <c r="F155" i="38" s="1"/>
  <c r="J497" i="37"/>
  <c r="D497" i="37" s="1"/>
  <c r="K497" i="37"/>
  <c r="E497" i="37" s="1"/>
  <c r="G154" i="38"/>
  <c r="D154" i="38"/>
  <c r="E154" i="38" s="1"/>
  <c r="F154" i="38" s="1"/>
  <c r="J496" i="37"/>
  <c r="D496" i="37" s="1"/>
  <c r="K496" i="37"/>
  <c r="E496" i="37" s="1"/>
  <c r="G153" i="38"/>
  <c r="D153" i="38"/>
  <c r="E153" i="38" s="1"/>
  <c r="F153" i="38" s="1"/>
  <c r="J495" i="37"/>
  <c r="D495" i="37" s="1"/>
  <c r="K495" i="37"/>
  <c r="E495" i="37" s="1"/>
  <c r="G152" i="38"/>
  <c r="D152" i="38"/>
  <c r="E152" i="38" s="1"/>
  <c r="F152" i="38" s="1"/>
  <c r="J494" i="37"/>
  <c r="D494" i="37" s="1"/>
  <c r="K494" i="37"/>
  <c r="E494" i="37" s="1"/>
  <c r="G151" i="38"/>
  <c r="D151" i="38"/>
  <c r="E151" i="38" s="1"/>
  <c r="F151" i="38" s="1"/>
  <c r="J493" i="37"/>
  <c r="D493" i="37" s="1"/>
  <c r="K493" i="37"/>
  <c r="E493" i="37" s="1"/>
  <c r="G150" i="38"/>
  <c r="D150" i="38"/>
  <c r="E150" i="38" s="1"/>
  <c r="F150" i="38" s="1"/>
  <c r="J492" i="37"/>
  <c r="D492" i="37" s="1"/>
  <c r="K492" i="37"/>
  <c r="E492" i="37" s="1"/>
  <c r="G149" i="38"/>
  <c r="D149" i="38"/>
  <c r="E149" i="38" s="1"/>
  <c r="F149" i="38" s="1"/>
  <c r="J491" i="37"/>
  <c r="D491" i="37" s="1"/>
  <c r="K491" i="37"/>
  <c r="E491" i="37" s="1"/>
  <c r="G148" i="38"/>
  <c r="D148" i="38"/>
  <c r="E148" i="38" s="1"/>
  <c r="F148" i="38" s="1"/>
  <c r="J490" i="37"/>
  <c r="D490" i="37" s="1"/>
  <c r="K490" i="37"/>
  <c r="E490" i="37" s="1"/>
  <c r="G147" i="38"/>
  <c r="D147" i="38"/>
  <c r="E147" i="38" s="1"/>
  <c r="F147" i="38" s="1"/>
  <c r="J489" i="37"/>
  <c r="D489" i="37" s="1"/>
  <c r="K489" i="37"/>
  <c r="E489" i="37" s="1"/>
  <c r="G146" i="38"/>
  <c r="D146" i="38"/>
  <c r="E146" i="38" s="1"/>
  <c r="F146" i="38" s="1"/>
  <c r="J488" i="37"/>
  <c r="D488" i="37" s="1"/>
  <c r="K488" i="37"/>
  <c r="E488" i="37" s="1"/>
  <c r="G145" i="38"/>
  <c r="D145" i="38"/>
  <c r="E145" i="38" s="1"/>
  <c r="F145" i="38" s="1"/>
  <c r="J487" i="37"/>
  <c r="D487" i="37" s="1"/>
  <c r="K487" i="37"/>
  <c r="E487" i="37" s="1"/>
  <c r="G144" i="38"/>
  <c r="D144" i="38"/>
  <c r="E144" i="38" s="1"/>
  <c r="F144" i="38" s="1"/>
  <c r="J486" i="37"/>
  <c r="D486" i="37" s="1"/>
  <c r="K486" i="37"/>
  <c r="E486" i="37" s="1"/>
  <c r="G143" i="38"/>
  <c r="D143" i="38"/>
  <c r="E143" i="38" s="1"/>
  <c r="F143" i="38" s="1"/>
  <c r="J485" i="37"/>
  <c r="D485" i="37" s="1"/>
  <c r="K485" i="37"/>
  <c r="E485" i="37" s="1"/>
  <c r="G142" i="38"/>
  <c r="D142" i="38"/>
  <c r="E142" i="38" s="1"/>
  <c r="F142" i="38" s="1"/>
  <c r="J484" i="37"/>
  <c r="D484" i="37" s="1"/>
  <c r="K484" i="37"/>
  <c r="E484" i="37" s="1"/>
  <c r="G141" i="38"/>
  <c r="D141" i="38"/>
  <c r="E141" i="38" s="1"/>
  <c r="F141" i="38" s="1"/>
  <c r="M136" i="38"/>
  <c r="K136" i="38"/>
  <c r="I136" i="38"/>
  <c r="Q4" i="20"/>
  <c r="E5" i="20" s="1"/>
  <c r="E5" i="38" s="1"/>
  <c r="Q3" i="20"/>
  <c r="E41" i="20" s="1"/>
  <c r="K608" i="37"/>
  <c r="E608" i="37" s="1"/>
  <c r="J608" i="37"/>
  <c r="D608" i="37" s="1"/>
  <c r="F608" i="37"/>
  <c r="K607" i="37"/>
  <c r="E607" i="37" s="1"/>
  <c r="J607" i="37"/>
  <c r="D607" i="37" s="1"/>
  <c r="F607" i="37"/>
  <c r="K606" i="37"/>
  <c r="E606" i="37" s="1"/>
  <c r="J606" i="37"/>
  <c r="D606" i="37" s="1"/>
  <c r="F606" i="37"/>
  <c r="K605" i="37"/>
  <c r="E605" i="37" s="1"/>
  <c r="J605" i="37"/>
  <c r="D605" i="37" s="1"/>
  <c r="F605" i="37"/>
  <c r="O23" i="38"/>
  <c r="K398" i="37" s="1"/>
  <c r="E398" i="37" s="1"/>
  <c r="P23" i="38"/>
  <c r="J398" i="37" s="1"/>
  <c r="D398" i="37" s="1"/>
  <c r="O24" i="38"/>
  <c r="K399" i="37" s="1"/>
  <c r="E399" i="37" s="1"/>
  <c r="P24" i="38"/>
  <c r="J399" i="37" s="1"/>
  <c r="D399" i="37" s="1"/>
  <c r="O25" i="38"/>
  <c r="K400" i="37" s="1"/>
  <c r="E400" i="37" s="1"/>
  <c r="P25" i="38"/>
  <c r="J400" i="37" s="1"/>
  <c r="D400" i="37" s="1"/>
  <c r="O26" i="38"/>
  <c r="K401" i="37" s="1"/>
  <c r="E401" i="37" s="1"/>
  <c r="P26" i="38"/>
  <c r="J401" i="37" s="1"/>
  <c r="D401" i="37" s="1"/>
  <c r="O27" i="38"/>
  <c r="K402" i="37" s="1"/>
  <c r="E402" i="37" s="1"/>
  <c r="P27" i="38"/>
  <c r="J402" i="37" s="1"/>
  <c r="D402" i="37" s="1"/>
  <c r="O28" i="38"/>
  <c r="K403" i="37" s="1"/>
  <c r="E403" i="37" s="1"/>
  <c r="P28" i="38"/>
  <c r="J403" i="37" s="1"/>
  <c r="D403" i="37" s="1"/>
  <c r="O29" i="38"/>
  <c r="K404" i="37" s="1"/>
  <c r="E404" i="37" s="1"/>
  <c r="P29" i="38"/>
  <c r="J404" i="37" s="1"/>
  <c r="D404" i="37" s="1"/>
  <c r="O30" i="38"/>
  <c r="K405" i="37" s="1"/>
  <c r="E405" i="37" s="1"/>
  <c r="P30" i="38"/>
  <c r="J405" i="37" s="1"/>
  <c r="D405" i="37" s="1"/>
  <c r="O31" i="38"/>
  <c r="K406" i="37" s="1"/>
  <c r="E406" i="37" s="1"/>
  <c r="P31" i="38"/>
  <c r="J406" i="37" s="1"/>
  <c r="D406" i="37" s="1"/>
  <c r="O32" i="38"/>
  <c r="K407" i="37" s="1"/>
  <c r="E407" i="37" s="1"/>
  <c r="P32" i="38"/>
  <c r="J407" i="37" s="1"/>
  <c r="D407" i="37" s="1"/>
  <c r="O33" i="38"/>
  <c r="K408" i="37" s="1"/>
  <c r="E408" i="37" s="1"/>
  <c r="P33" i="38"/>
  <c r="J408" i="37" s="1"/>
  <c r="D408" i="37" s="1"/>
  <c r="O34" i="38"/>
  <c r="K409" i="37" s="1"/>
  <c r="E409" i="37" s="1"/>
  <c r="P34" i="38"/>
  <c r="J409" i="37" s="1"/>
  <c r="D409" i="37" s="1"/>
  <c r="O35" i="38"/>
  <c r="K410" i="37" s="1"/>
  <c r="E410" i="37" s="1"/>
  <c r="P35" i="38"/>
  <c r="J410" i="37" s="1"/>
  <c r="D410" i="37" s="1"/>
  <c r="O37" i="38"/>
  <c r="K411" i="37" s="1"/>
  <c r="E411" i="37" s="1"/>
  <c r="P37" i="38"/>
  <c r="J411" i="37" s="1"/>
  <c r="D411" i="37" s="1"/>
  <c r="O38" i="38"/>
  <c r="K412" i="37" s="1"/>
  <c r="E412" i="37" s="1"/>
  <c r="P38" i="38"/>
  <c r="J412" i="37" s="1"/>
  <c r="D412" i="37" s="1"/>
  <c r="O39" i="38"/>
  <c r="K413" i="37" s="1"/>
  <c r="E413" i="37" s="1"/>
  <c r="P39" i="38"/>
  <c r="J413" i="37" s="1"/>
  <c r="D413" i="37" s="1"/>
  <c r="O40" i="38"/>
  <c r="K414" i="37" s="1"/>
  <c r="E414" i="37" s="1"/>
  <c r="P40" i="38"/>
  <c r="J414" i="37" s="1"/>
  <c r="D414" i="37" s="1"/>
  <c r="O41" i="38"/>
  <c r="K415" i="37" s="1"/>
  <c r="E415" i="37" s="1"/>
  <c r="P41" i="38"/>
  <c r="J415" i="37" s="1"/>
  <c r="D415" i="37" s="1"/>
  <c r="O42" i="38"/>
  <c r="K416" i="37" s="1"/>
  <c r="E416" i="37" s="1"/>
  <c r="P42" i="38"/>
  <c r="J416" i="37" s="1"/>
  <c r="D416" i="37" s="1"/>
  <c r="O43" i="38"/>
  <c r="K417" i="37" s="1"/>
  <c r="E417" i="37" s="1"/>
  <c r="P43" i="38"/>
  <c r="J417" i="37" s="1"/>
  <c r="D417" i="37" s="1"/>
  <c r="O44" i="38"/>
  <c r="K418" i="37" s="1"/>
  <c r="E418" i="37" s="1"/>
  <c r="P44" i="38"/>
  <c r="J418" i="37" s="1"/>
  <c r="D418" i="37" s="1"/>
  <c r="O45" i="38"/>
  <c r="K419" i="37" s="1"/>
  <c r="E419" i="37" s="1"/>
  <c r="P45" i="38"/>
  <c r="J419" i="37" s="1"/>
  <c r="D419" i="37" s="1"/>
  <c r="O46" i="38"/>
  <c r="K420" i="37" s="1"/>
  <c r="E420" i="37" s="1"/>
  <c r="P46" i="38"/>
  <c r="J420" i="37" s="1"/>
  <c r="D420" i="37" s="1"/>
  <c r="O47" i="38"/>
  <c r="K421" i="37" s="1"/>
  <c r="E421" i="37" s="1"/>
  <c r="P47" i="38"/>
  <c r="J421" i="37" s="1"/>
  <c r="D421" i="37" s="1"/>
  <c r="O48" i="38"/>
  <c r="K422" i="37" s="1"/>
  <c r="E422" i="37" s="1"/>
  <c r="P48" i="38"/>
  <c r="J422" i="37" s="1"/>
  <c r="D422" i="37" s="1"/>
  <c r="O49" i="38"/>
  <c r="K423" i="37" s="1"/>
  <c r="E423" i="37" s="1"/>
  <c r="P49" i="38"/>
  <c r="J423" i="37" s="1"/>
  <c r="D423" i="37" s="1"/>
  <c r="O50" i="38"/>
  <c r="K424" i="37" s="1"/>
  <c r="E424" i="37" s="1"/>
  <c r="P50" i="38"/>
  <c r="J424" i="37" s="1"/>
  <c r="D424" i="37" s="1"/>
  <c r="O51" i="38"/>
  <c r="K425" i="37" s="1"/>
  <c r="E425" i="37" s="1"/>
  <c r="P51" i="38"/>
  <c r="J425" i="37" s="1"/>
  <c r="D425" i="37" s="1"/>
  <c r="O52" i="38"/>
  <c r="K426" i="37" s="1"/>
  <c r="E426" i="37" s="1"/>
  <c r="P52" i="38"/>
  <c r="J426" i="37" s="1"/>
  <c r="D426" i="37" s="1"/>
  <c r="O53" i="38"/>
  <c r="K427" i="37" s="1"/>
  <c r="E427" i="37" s="1"/>
  <c r="P53" i="38"/>
  <c r="J427" i="37" s="1"/>
  <c r="D427" i="37" s="1"/>
  <c r="O54" i="38"/>
  <c r="K428" i="37" s="1"/>
  <c r="E428" i="37" s="1"/>
  <c r="P54" i="38"/>
  <c r="J428" i="37" s="1"/>
  <c r="D428" i="37" s="1"/>
  <c r="O55" i="38"/>
  <c r="K429" i="37" s="1"/>
  <c r="E429" i="37" s="1"/>
  <c r="P55" i="38"/>
  <c r="J429" i="37" s="1"/>
  <c r="D429" i="37" s="1"/>
  <c r="O56" i="38"/>
  <c r="K430" i="37" s="1"/>
  <c r="E430" i="37" s="1"/>
  <c r="P56" i="38"/>
  <c r="J430" i="37" s="1"/>
  <c r="D430" i="37" s="1"/>
  <c r="O57" i="38"/>
  <c r="K431" i="37" s="1"/>
  <c r="E431" i="37" s="1"/>
  <c r="P57" i="38"/>
  <c r="J431" i="37" s="1"/>
  <c r="D431" i="37" s="1"/>
  <c r="O58" i="38"/>
  <c r="K432" i="37" s="1"/>
  <c r="E432" i="37" s="1"/>
  <c r="P58" i="38"/>
  <c r="J432" i="37" s="1"/>
  <c r="D432" i="37" s="1"/>
  <c r="O59" i="38"/>
  <c r="K433" i="37" s="1"/>
  <c r="E433" i="37" s="1"/>
  <c r="P59" i="38"/>
  <c r="J433" i="37" s="1"/>
  <c r="D433" i="37" s="1"/>
  <c r="O60" i="38"/>
  <c r="K434" i="37" s="1"/>
  <c r="E434" i="37" s="1"/>
  <c r="P60" i="38"/>
  <c r="J434" i="37" s="1"/>
  <c r="D434" i="37" s="1"/>
  <c r="O61" i="38"/>
  <c r="K435" i="37" s="1"/>
  <c r="E435" i="37" s="1"/>
  <c r="P61" i="38"/>
  <c r="J435" i="37" s="1"/>
  <c r="D435" i="37" s="1"/>
  <c r="O62" i="38"/>
  <c r="K436" i="37" s="1"/>
  <c r="E436" i="37" s="1"/>
  <c r="P62" i="38"/>
  <c r="J436" i="37" s="1"/>
  <c r="D436" i="37" s="1"/>
  <c r="O63" i="38"/>
  <c r="K437" i="37" s="1"/>
  <c r="E437" i="37" s="1"/>
  <c r="P63" i="38"/>
  <c r="J437" i="37" s="1"/>
  <c r="D437" i="37" s="1"/>
  <c r="O64" i="38"/>
  <c r="K438" i="37" s="1"/>
  <c r="E438" i="37" s="1"/>
  <c r="P64" i="38"/>
  <c r="J438" i="37" s="1"/>
  <c r="D438" i="37" s="1"/>
  <c r="O65" i="38"/>
  <c r="K439" i="37" s="1"/>
  <c r="E439" i="37" s="1"/>
  <c r="P65" i="38"/>
  <c r="J439" i="37" s="1"/>
  <c r="D439" i="37" s="1"/>
  <c r="O66" i="38"/>
  <c r="K440" i="37" s="1"/>
  <c r="E440" i="37" s="1"/>
  <c r="P66" i="38"/>
  <c r="J440" i="37" s="1"/>
  <c r="D440" i="37" s="1"/>
  <c r="O67" i="38"/>
  <c r="K441" i="37" s="1"/>
  <c r="E441" i="37" s="1"/>
  <c r="P67" i="38"/>
  <c r="J441" i="37" s="1"/>
  <c r="D441" i="37" s="1"/>
  <c r="O68" i="38"/>
  <c r="K442" i="37" s="1"/>
  <c r="E442" i="37" s="1"/>
  <c r="P68" i="38"/>
  <c r="J442" i="37" s="1"/>
  <c r="D442" i="37" s="1"/>
  <c r="O69" i="38"/>
  <c r="K443" i="37" s="1"/>
  <c r="E443" i="37" s="1"/>
  <c r="P69" i="38"/>
  <c r="J443" i="37" s="1"/>
  <c r="D443" i="37" s="1"/>
  <c r="O70" i="38"/>
  <c r="K444" i="37" s="1"/>
  <c r="E444" i="37" s="1"/>
  <c r="P70" i="38"/>
  <c r="J444" i="37" s="1"/>
  <c r="D444" i="37" s="1"/>
  <c r="O71" i="38"/>
  <c r="K445" i="37" s="1"/>
  <c r="E445" i="37" s="1"/>
  <c r="P71" i="38"/>
  <c r="J445" i="37" s="1"/>
  <c r="D445" i="37" s="1"/>
  <c r="O72" i="38"/>
  <c r="K446" i="37" s="1"/>
  <c r="E446" i="37" s="1"/>
  <c r="P72" i="38"/>
  <c r="J446" i="37" s="1"/>
  <c r="D446" i="37" s="1"/>
  <c r="O73" i="38"/>
  <c r="K447" i="37" s="1"/>
  <c r="E447" i="37" s="1"/>
  <c r="P73" i="38"/>
  <c r="J447" i="37" s="1"/>
  <c r="D447" i="37" s="1"/>
  <c r="O74" i="38"/>
  <c r="K448" i="37" s="1"/>
  <c r="E448" i="37" s="1"/>
  <c r="P74" i="38"/>
  <c r="J448" i="37" s="1"/>
  <c r="D448" i="37" s="1"/>
  <c r="O75" i="38"/>
  <c r="K449" i="37" s="1"/>
  <c r="E449" i="37" s="1"/>
  <c r="P75" i="38"/>
  <c r="J449" i="37" s="1"/>
  <c r="D449" i="37" s="1"/>
  <c r="O76" i="38"/>
  <c r="K450" i="37" s="1"/>
  <c r="E450" i="37" s="1"/>
  <c r="P76" i="38"/>
  <c r="J450" i="37" s="1"/>
  <c r="D450" i="37" s="1"/>
  <c r="O77" i="38"/>
  <c r="K451" i="37" s="1"/>
  <c r="E451" i="37" s="1"/>
  <c r="P77" i="38"/>
  <c r="J451" i="37" s="1"/>
  <c r="D451" i="37" s="1"/>
  <c r="O78" i="38"/>
  <c r="K452" i="37" s="1"/>
  <c r="E452" i="37" s="1"/>
  <c r="P78" i="38"/>
  <c r="J452" i="37" s="1"/>
  <c r="D452" i="37" s="1"/>
  <c r="O79" i="38"/>
  <c r="K453" i="37" s="1"/>
  <c r="E453" i="37" s="1"/>
  <c r="P79" i="38"/>
  <c r="J453" i="37" s="1"/>
  <c r="D453" i="37" s="1"/>
  <c r="O80" i="38"/>
  <c r="K454" i="37" s="1"/>
  <c r="E454" i="37" s="1"/>
  <c r="P80" i="38"/>
  <c r="J454" i="37" s="1"/>
  <c r="D454" i="37" s="1"/>
  <c r="O81" i="38"/>
  <c r="K455" i="37" s="1"/>
  <c r="E455" i="37" s="1"/>
  <c r="P81" i="38"/>
  <c r="J455" i="37" s="1"/>
  <c r="D455" i="37" s="1"/>
  <c r="O82" i="38"/>
  <c r="K456" i="37" s="1"/>
  <c r="E456" i="37" s="1"/>
  <c r="P82" i="38"/>
  <c r="J456" i="37" s="1"/>
  <c r="D456" i="37" s="1"/>
  <c r="O83" i="38"/>
  <c r="K457" i="37" s="1"/>
  <c r="E457" i="37" s="1"/>
  <c r="P83" i="38"/>
  <c r="J457" i="37" s="1"/>
  <c r="D457" i="37" s="1"/>
  <c r="O84" i="38"/>
  <c r="K458" i="37" s="1"/>
  <c r="E458" i="37" s="1"/>
  <c r="P84" i="38"/>
  <c r="J458" i="37" s="1"/>
  <c r="D458" i="37" s="1"/>
  <c r="O85" i="38"/>
  <c r="K459" i="37" s="1"/>
  <c r="E459" i="37" s="1"/>
  <c r="P85" i="38"/>
  <c r="J459" i="37" s="1"/>
  <c r="D459" i="37" s="1"/>
  <c r="O86" i="38"/>
  <c r="K460" i="37" s="1"/>
  <c r="E460" i="37" s="1"/>
  <c r="P86" i="38"/>
  <c r="J460" i="37" s="1"/>
  <c r="D460" i="37" s="1"/>
  <c r="O87" i="38"/>
  <c r="K461" i="37" s="1"/>
  <c r="E461" i="37" s="1"/>
  <c r="P87" i="38"/>
  <c r="J461" i="37" s="1"/>
  <c r="D461" i="37" s="1"/>
  <c r="O88" i="38"/>
  <c r="K462" i="37" s="1"/>
  <c r="E462" i="37" s="1"/>
  <c r="P88" i="38"/>
  <c r="J462" i="37" s="1"/>
  <c r="D462" i="37" s="1"/>
  <c r="O89" i="38"/>
  <c r="K463" i="37" s="1"/>
  <c r="E463" i="37" s="1"/>
  <c r="P89" i="38"/>
  <c r="J463" i="37" s="1"/>
  <c r="D463" i="37" s="1"/>
  <c r="O90" i="38"/>
  <c r="K464" i="37" s="1"/>
  <c r="E464" i="37" s="1"/>
  <c r="P90" i="38"/>
  <c r="J464" i="37" s="1"/>
  <c r="D464" i="37" s="1"/>
  <c r="O91" i="38"/>
  <c r="K465" i="37" s="1"/>
  <c r="E465" i="37" s="1"/>
  <c r="P91" i="38"/>
  <c r="J465" i="37" s="1"/>
  <c r="D465" i="37" s="1"/>
  <c r="O92" i="38"/>
  <c r="K466" i="37" s="1"/>
  <c r="E466" i="37" s="1"/>
  <c r="P92" i="38"/>
  <c r="J466" i="37" s="1"/>
  <c r="D466" i="37" s="1"/>
  <c r="O93" i="38"/>
  <c r="K467" i="37" s="1"/>
  <c r="E467" i="37" s="1"/>
  <c r="P93" i="38"/>
  <c r="J467" i="37" s="1"/>
  <c r="D467" i="37" s="1"/>
  <c r="O94" i="38"/>
  <c r="K468" i="37" s="1"/>
  <c r="E468" i="37" s="1"/>
  <c r="P94" i="38"/>
  <c r="J468" i="37" s="1"/>
  <c r="D468" i="37" s="1"/>
  <c r="O95" i="38"/>
  <c r="K469" i="37" s="1"/>
  <c r="E469" i="37" s="1"/>
  <c r="P95" i="38"/>
  <c r="J469" i="37" s="1"/>
  <c r="D469" i="37" s="1"/>
  <c r="O96" i="38"/>
  <c r="K470" i="37" s="1"/>
  <c r="E470" i="37" s="1"/>
  <c r="P96" i="38"/>
  <c r="J470" i="37" s="1"/>
  <c r="D470" i="37" s="1"/>
  <c r="O97" i="38"/>
  <c r="K471" i="37" s="1"/>
  <c r="E471" i="37" s="1"/>
  <c r="P97" i="38"/>
  <c r="J471" i="37" s="1"/>
  <c r="D471" i="37" s="1"/>
  <c r="O98" i="38"/>
  <c r="K472" i="37" s="1"/>
  <c r="E472" i="37" s="1"/>
  <c r="P98" i="38"/>
  <c r="J472" i="37" s="1"/>
  <c r="D472" i="37" s="1"/>
  <c r="O105" i="38"/>
  <c r="K473" i="37" s="1"/>
  <c r="E473" i="37" s="1"/>
  <c r="P105" i="38"/>
  <c r="J473" i="37" s="1"/>
  <c r="D473" i="37" s="1"/>
  <c r="O106" i="38"/>
  <c r="K474" i="37" s="1"/>
  <c r="E474" i="37" s="1"/>
  <c r="P106" i="38"/>
  <c r="J474" i="37" s="1"/>
  <c r="D474" i="37" s="1"/>
  <c r="O107" i="38"/>
  <c r="K475" i="37" s="1"/>
  <c r="E475" i="37" s="1"/>
  <c r="P107" i="38"/>
  <c r="J475" i="37" s="1"/>
  <c r="D475" i="37" s="1"/>
  <c r="O108" i="38"/>
  <c r="K476" i="37" s="1"/>
  <c r="E476" i="37" s="1"/>
  <c r="P108" i="38"/>
  <c r="J476" i="37" s="1"/>
  <c r="D476" i="37" s="1"/>
  <c r="O109" i="38"/>
  <c r="K477" i="37" s="1"/>
  <c r="E477" i="37" s="1"/>
  <c r="P109" i="38"/>
  <c r="J477" i="37" s="1"/>
  <c r="D477" i="37" s="1"/>
  <c r="O110" i="38"/>
  <c r="K478" i="37" s="1"/>
  <c r="E478" i="37" s="1"/>
  <c r="P110" i="38"/>
  <c r="J478" i="37" s="1"/>
  <c r="D478" i="37" s="1"/>
  <c r="O111" i="38"/>
  <c r="K479" i="37" s="1"/>
  <c r="E479" i="37" s="1"/>
  <c r="P111" i="38"/>
  <c r="J479" i="37" s="1"/>
  <c r="D479" i="37" s="1"/>
  <c r="O112" i="38"/>
  <c r="K480" i="37" s="1"/>
  <c r="E480" i="37" s="1"/>
  <c r="P112" i="38"/>
  <c r="J480" i="37" s="1"/>
  <c r="D480" i="37" s="1"/>
  <c r="O113" i="38"/>
  <c r="K481" i="37" s="1"/>
  <c r="E481" i="37" s="1"/>
  <c r="P113" i="38"/>
  <c r="J481" i="37" s="1"/>
  <c r="D481" i="37" s="1"/>
  <c r="O114" i="38"/>
  <c r="K482" i="37" s="1"/>
  <c r="E482" i="37" s="1"/>
  <c r="P114" i="38"/>
  <c r="J482" i="37" s="1"/>
  <c r="D482" i="37" s="1"/>
  <c r="O115" i="38"/>
  <c r="K483" i="37" s="1"/>
  <c r="E483" i="37" s="1"/>
  <c r="P115" i="38"/>
  <c r="J483" i="37" s="1"/>
  <c r="D483" i="37" s="1"/>
  <c r="E694" i="29"/>
  <c r="E693" i="29"/>
  <c r="E692" i="29"/>
  <c r="E691" i="29"/>
  <c r="E690" i="29"/>
  <c r="E689" i="29"/>
  <c r="E688" i="29"/>
  <c r="E687" i="29"/>
  <c r="E684" i="29"/>
  <c r="E683" i="29"/>
  <c r="E682" i="29"/>
  <c r="E673" i="29"/>
  <c r="E672" i="29"/>
  <c r="E671" i="29"/>
  <c r="E670" i="29"/>
  <c r="E669" i="29"/>
  <c r="E668" i="29"/>
  <c r="E667" i="29"/>
  <c r="E666" i="29"/>
  <c r="E665" i="29"/>
  <c r="E664" i="29"/>
  <c r="E663" i="29"/>
  <c r="E662" i="29"/>
  <c r="E661" i="29"/>
  <c r="E660" i="29"/>
  <c r="E659" i="29"/>
  <c r="E658" i="29"/>
  <c r="E657" i="29"/>
  <c r="E656" i="29"/>
  <c r="E655" i="29"/>
  <c r="E654" i="29"/>
  <c r="E653" i="29"/>
  <c r="E650" i="29"/>
  <c r="E649" i="29"/>
  <c r="E648" i="29"/>
  <c r="E647" i="29"/>
  <c r="E646" i="29"/>
  <c r="E643" i="29"/>
  <c r="E642" i="29"/>
  <c r="E641" i="29"/>
  <c r="E640" i="29"/>
  <c r="E639" i="29"/>
  <c r="E638" i="29"/>
  <c r="E637" i="29"/>
  <c r="E636" i="29"/>
  <c r="E635" i="29"/>
  <c r="E634" i="29"/>
  <c r="E633" i="29"/>
  <c r="E632" i="29"/>
  <c r="E631" i="29"/>
  <c r="E628" i="29"/>
  <c r="E627" i="29"/>
  <c r="E626" i="29"/>
  <c r="E625" i="29"/>
  <c r="E624" i="29"/>
  <c r="E623" i="29"/>
  <c r="E622" i="29"/>
  <c r="E621" i="29"/>
  <c r="E620" i="29"/>
  <c r="E619" i="29"/>
  <c r="E618" i="29"/>
  <c r="E617" i="29"/>
  <c r="E616" i="29"/>
  <c r="E615" i="29"/>
  <c r="E614" i="29"/>
  <c r="E613" i="29"/>
  <c r="E612" i="29"/>
  <c r="E609" i="29"/>
  <c r="E608" i="29"/>
  <c r="E607" i="29"/>
  <c r="E606" i="29"/>
  <c r="E605" i="29"/>
  <c r="E604" i="29"/>
  <c r="E602" i="29"/>
  <c r="E601" i="29"/>
  <c r="E600" i="29"/>
  <c r="E597" i="29"/>
  <c r="E596" i="29"/>
  <c r="E595" i="29"/>
  <c r="E594" i="29"/>
  <c r="E593" i="29"/>
  <c r="E592" i="29"/>
  <c r="E591" i="29"/>
  <c r="E590" i="29"/>
  <c r="E589" i="29"/>
  <c r="E588" i="29"/>
  <c r="C694" i="29"/>
  <c r="C693" i="29"/>
  <c r="C692" i="29"/>
  <c r="C691" i="29"/>
  <c r="C690" i="29"/>
  <c r="C689" i="29"/>
  <c r="C688" i="29"/>
  <c r="C687" i="29"/>
  <c r="C684" i="29"/>
  <c r="C683" i="29"/>
  <c r="C682" i="29"/>
  <c r="C673" i="29"/>
  <c r="C672" i="29"/>
  <c r="C671" i="29"/>
  <c r="C670" i="29"/>
  <c r="C669" i="29"/>
  <c r="C668" i="29"/>
  <c r="C667" i="29"/>
  <c r="C666" i="29"/>
  <c r="C665" i="29"/>
  <c r="C664" i="29"/>
  <c r="C663" i="29"/>
  <c r="C662" i="29"/>
  <c r="C661" i="29"/>
  <c r="C660" i="29"/>
  <c r="C659" i="29"/>
  <c r="C658" i="29"/>
  <c r="C657" i="29"/>
  <c r="C656" i="29"/>
  <c r="C655" i="29"/>
  <c r="C654" i="29"/>
  <c r="C653" i="29"/>
  <c r="C650" i="29"/>
  <c r="C649" i="29"/>
  <c r="C648" i="29"/>
  <c r="C647" i="29"/>
  <c r="C646" i="29"/>
  <c r="C643" i="29"/>
  <c r="C642" i="29"/>
  <c r="C641" i="29"/>
  <c r="C640" i="29"/>
  <c r="C639" i="29"/>
  <c r="C638" i="29"/>
  <c r="C637" i="29"/>
  <c r="C636" i="29"/>
  <c r="C635" i="29"/>
  <c r="C634" i="29"/>
  <c r="C633" i="29"/>
  <c r="C632" i="29"/>
  <c r="C631" i="29"/>
  <c r="C628" i="29"/>
  <c r="C627" i="29"/>
  <c r="C626" i="29"/>
  <c r="C625" i="29"/>
  <c r="C624" i="29"/>
  <c r="C623" i="29"/>
  <c r="C622" i="29"/>
  <c r="C621" i="29"/>
  <c r="C620" i="29"/>
  <c r="C619" i="29"/>
  <c r="C618" i="29"/>
  <c r="C617" i="29"/>
  <c r="C616" i="29"/>
  <c r="C615" i="29"/>
  <c r="C614" i="29"/>
  <c r="C613" i="29"/>
  <c r="C612" i="29"/>
  <c r="C609" i="29"/>
  <c r="C608" i="29"/>
  <c r="C607" i="29"/>
  <c r="C606" i="29"/>
  <c r="C605" i="29"/>
  <c r="C604" i="29"/>
  <c r="C602" i="29"/>
  <c r="C601" i="29"/>
  <c r="C600" i="29"/>
  <c r="C597" i="29"/>
  <c r="C596" i="29"/>
  <c r="C595" i="29"/>
  <c r="C594" i="29"/>
  <c r="C593" i="29"/>
  <c r="C592" i="29"/>
  <c r="C591" i="29"/>
  <c r="C590" i="29"/>
  <c r="C589" i="29"/>
  <c r="C588" i="29"/>
  <c r="G115" i="38"/>
  <c r="D115" i="38"/>
  <c r="E115" i="38" s="1"/>
  <c r="F115" i="38" s="1"/>
  <c r="G114" i="38"/>
  <c r="D114" i="38"/>
  <c r="E114" i="38" s="1"/>
  <c r="F114" i="38" s="1"/>
  <c r="G113" i="38"/>
  <c r="D113" i="38"/>
  <c r="E113" i="38" s="1"/>
  <c r="F113" i="38" s="1"/>
  <c r="G112" i="38"/>
  <c r="D112" i="38"/>
  <c r="E112" i="38" s="1"/>
  <c r="F112" i="38" s="1"/>
  <c r="G111" i="38"/>
  <c r="D111" i="38"/>
  <c r="E111" i="38" s="1"/>
  <c r="F111" i="38" s="1"/>
  <c r="G110" i="38"/>
  <c r="D110" i="38"/>
  <c r="E110" i="38" s="1"/>
  <c r="F110" i="38" s="1"/>
  <c r="G109" i="38"/>
  <c r="D109" i="38"/>
  <c r="E109" i="38" s="1"/>
  <c r="F109" i="38" s="1"/>
  <c r="G108" i="38"/>
  <c r="D108" i="38"/>
  <c r="E108" i="38" s="1"/>
  <c r="F108" i="38" s="1"/>
  <c r="G107" i="38"/>
  <c r="D107" i="38"/>
  <c r="E107" i="38" s="1"/>
  <c r="F107" i="38" s="1"/>
  <c r="G106" i="38"/>
  <c r="D106" i="38"/>
  <c r="E106" i="38" s="1"/>
  <c r="F106" i="38" s="1"/>
  <c r="G105" i="38"/>
  <c r="D105" i="38"/>
  <c r="E105" i="38" s="1"/>
  <c r="F105" i="38" s="1"/>
  <c r="G98" i="38"/>
  <c r="D98" i="38"/>
  <c r="E98" i="38" s="1"/>
  <c r="F98" i="38" s="1"/>
  <c r="G97" i="38"/>
  <c r="D97" i="38"/>
  <c r="E97" i="38" s="1"/>
  <c r="F97" i="38" s="1"/>
  <c r="G96" i="38"/>
  <c r="D96" i="38"/>
  <c r="E96" i="38" s="1"/>
  <c r="F96" i="38" s="1"/>
  <c r="G95" i="38"/>
  <c r="D95" i="38"/>
  <c r="E95" i="38" s="1"/>
  <c r="F95" i="38" s="1"/>
  <c r="G94" i="38"/>
  <c r="D94" i="38"/>
  <c r="E94" i="38" s="1"/>
  <c r="F94" i="38" s="1"/>
  <c r="G93" i="38"/>
  <c r="D93" i="38"/>
  <c r="E93" i="38" s="1"/>
  <c r="F93" i="38" s="1"/>
  <c r="G92" i="38"/>
  <c r="D92" i="38"/>
  <c r="E92" i="38" s="1"/>
  <c r="F92" i="38" s="1"/>
  <c r="G91" i="38"/>
  <c r="D91" i="38"/>
  <c r="E91" i="38" s="1"/>
  <c r="F91" i="38" s="1"/>
  <c r="G90" i="38"/>
  <c r="D90" i="38"/>
  <c r="E90" i="38" s="1"/>
  <c r="F90" i="38" s="1"/>
  <c r="G89" i="38"/>
  <c r="D89" i="38"/>
  <c r="E89" i="38" s="1"/>
  <c r="F89" i="38" s="1"/>
  <c r="G88" i="38"/>
  <c r="D88" i="38"/>
  <c r="E88" i="38" s="1"/>
  <c r="F88" i="38" s="1"/>
  <c r="G87" i="38"/>
  <c r="D87" i="38"/>
  <c r="E87" i="38" s="1"/>
  <c r="F87" i="38" s="1"/>
  <c r="G86" i="38"/>
  <c r="D86" i="38"/>
  <c r="E86" i="38" s="1"/>
  <c r="F86" i="38" s="1"/>
  <c r="G85" i="38"/>
  <c r="D85" i="38"/>
  <c r="E85" i="38" s="1"/>
  <c r="F85" i="38" s="1"/>
  <c r="G84" i="38"/>
  <c r="D84" i="38"/>
  <c r="E84" i="38" s="1"/>
  <c r="F84" i="38" s="1"/>
  <c r="G83" i="38"/>
  <c r="D83" i="38"/>
  <c r="E83" i="38" s="1"/>
  <c r="F83" i="38" s="1"/>
  <c r="G82" i="38"/>
  <c r="D82" i="38"/>
  <c r="E82" i="38" s="1"/>
  <c r="F82" i="38" s="1"/>
  <c r="G81" i="38"/>
  <c r="D81" i="38"/>
  <c r="E81" i="38" s="1"/>
  <c r="F81" i="38" s="1"/>
  <c r="G80" i="38"/>
  <c r="D80" i="38"/>
  <c r="E80" i="38" s="1"/>
  <c r="F80" i="38" s="1"/>
  <c r="G79" i="38"/>
  <c r="D79" i="38"/>
  <c r="E79" i="38" s="1"/>
  <c r="F79" i="38" s="1"/>
  <c r="G78" i="38"/>
  <c r="D78" i="38"/>
  <c r="E78" i="38" s="1"/>
  <c r="F78" i="38" s="1"/>
  <c r="G77" i="38"/>
  <c r="D77" i="38"/>
  <c r="E77" i="38" s="1"/>
  <c r="F77" i="38" s="1"/>
  <c r="G76" i="38"/>
  <c r="D76" i="38"/>
  <c r="E76" i="38" s="1"/>
  <c r="F76" i="38" s="1"/>
  <c r="G75" i="38"/>
  <c r="D75" i="38"/>
  <c r="E75" i="38" s="1"/>
  <c r="F75" i="38" s="1"/>
  <c r="G74" i="38"/>
  <c r="D74" i="38"/>
  <c r="E74" i="38" s="1"/>
  <c r="F74" i="38" s="1"/>
  <c r="G73" i="38"/>
  <c r="D73" i="38"/>
  <c r="E73" i="38" s="1"/>
  <c r="F73" i="38" s="1"/>
  <c r="G72" i="38"/>
  <c r="D72" i="38"/>
  <c r="E72" i="38" s="1"/>
  <c r="F72" i="38" s="1"/>
  <c r="G71" i="38"/>
  <c r="D71" i="38"/>
  <c r="E71" i="38" s="1"/>
  <c r="F71" i="38" s="1"/>
  <c r="G70" i="38"/>
  <c r="D70" i="38"/>
  <c r="E70" i="38" s="1"/>
  <c r="F70" i="38" s="1"/>
  <c r="G69" i="38"/>
  <c r="D69" i="38"/>
  <c r="E69" i="38" s="1"/>
  <c r="F69" i="38" s="1"/>
  <c r="G68" i="38"/>
  <c r="D68" i="38"/>
  <c r="E68" i="38" s="1"/>
  <c r="F68" i="38" s="1"/>
  <c r="G67" i="38"/>
  <c r="D67" i="38"/>
  <c r="E67" i="38" s="1"/>
  <c r="F67" i="38" s="1"/>
  <c r="G66" i="38"/>
  <c r="D66" i="38"/>
  <c r="E66" i="38" s="1"/>
  <c r="F66" i="38" s="1"/>
  <c r="G65" i="38"/>
  <c r="D65" i="38"/>
  <c r="E65" i="38" s="1"/>
  <c r="F65" i="38" s="1"/>
  <c r="G64" i="38"/>
  <c r="D64" i="38"/>
  <c r="E64" i="38" s="1"/>
  <c r="F64" i="38" s="1"/>
  <c r="G63" i="38"/>
  <c r="D63" i="38"/>
  <c r="E63" i="38" s="1"/>
  <c r="F63" i="38" s="1"/>
  <c r="G62" i="38"/>
  <c r="D62" i="38"/>
  <c r="E62" i="38" s="1"/>
  <c r="F62" i="38" s="1"/>
  <c r="G61" i="38"/>
  <c r="D61" i="38"/>
  <c r="E61" i="38" s="1"/>
  <c r="F61" i="38" s="1"/>
  <c r="G60" i="38"/>
  <c r="D60" i="38"/>
  <c r="E60" i="38" s="1"/>
  <c r="F60" i="38" s="1"/>
  <c r="G59" i="38"/>
  <c r="D59" i="38"/>
  <c r="E59" i="38" s="1"/>
  <c r="F59" i="38" s="1"/>
  <c r="G58" i="38"/>
  <c r="D58" i="38"/>
  <c r="E58" i="38" s="1"/>
  <c r="F58" i="38" s="1"/>
  <c r="G57" i="38"/>
  <c r="D57" i="38"/>
  <c r="E57" i="38" s="1"/>
  <c r="F57" i="38" s="1"/>
  <c r="G56" i="38"/>
  <c r="D56" i="38"/>
  <c r="E56" i="38" s="1"/>
  <c r="F56" i="38" s="1"/>
  <c r="G55" i="38"/>
  <c r="D55" i="38"/>
  <c r="E55" i="38" s="1"/>
  <c r="F55" i="38" s="1"/>
  <c r="G54" i="38"/>
  <c r="D54" i="38"/>
  <c r="E54" i="38" s="1"/>
  <c r="F54" i="38" s="1"/>
  <c r="G53" i="38"/>
  <c r="D53" i="38"/>
  <c r="E53" i="38" s="1"/>
  <c r="F53" i="38" s="1"/>
  <c r="G52" i="38"/>
  <c r="D52" i="38"/>
  <c r="E52" i="38" s="1"/>
  <c r="F52" i="38" s="1"/>
  <c r="G51" i="38"/>
  <c r="D51" i="38"/>
  <c r="E51" i="38" s="1"/>
  <c r="F51" i="38" s="1"/>
  <c r="G50" i="38"/>
  <c r="D50" i="38"/>
  <c r="E50" i="38" s="1"/>
  <c r="F50" i="38" s="1"/>
  <c r="G49" i="38"/>
  <c r="D49" i="38"/>
  <c r="E49" i="38" s="1"/>
  <c r="F49" i="38" s="1"/>
  <c r="G48" i="38"/>
  <c r="D48" i="38"/>
  <c r="E48" i="38" s="1"/>
  <c r="F48" i="38" s="1"/>
  <c r="G47" i="38"/>
  <c r="D47" i="38"/>
  <c r="E47" i="38" s="1"/>
  <c r="F47" i="38" s="1"/>
  <c r="G46" i="38"/>
  <c r="D46" i="38"/>
  <c r="E46" i="38" s="1"/>
  <c r="F46" i="38" s="1"/>
  <c r="G45" i="38"/>
  <c r="D45" i="38"/>
  <c r="E45" i="38" s="1"/>
  <c r="F45" i="38" s="1"/>
  <c r="G44" i="38"/>
  <c r="D44" i="38"/>
  <c r="E44" i="38" s="1"/>
  <c r="F44" i="38" s="1"/>
  <c r="G43" i="38"/>
  <c r="D43" i="38"/>
  <c r="E43" i="38" s="1"/>
  <c r="F43" i="38" s="1"/>
  <c r="G42" i="38"/>
  <c r="D42" i="38"/>
  <c r="E42" i="38" s="1"/>
  <c r="F42" i="38" s="1"/>
  <c r="G41" i="38"/>
  <c r="D41" i="38"/>
  <c r="E41" i="38" s="1"/>
  <c r="F41" i="38" s="1"/>
  <c r="G40" i="38"/>
  <c r="D40" i="38"/>
  <c r="E40" i="38" s="1"/>
  <c r="F40" i="38" s="1"/>
  <c r="G39" i="38"/>
  <c r="D39" i="38"/>
  <c r="E39" i="38" s="1"/>
  <c r="F39" i="38" s="1"/>
  <c r="G38" i="38"/>
  <c r="D38" i="38"/>
  <c r="E38" i="38" s="1"/>
  <c r="F38" i="38" s="1"/>
  <c r="G37" i="38"/>
  <c r="D37" i="38"/>
  <c r="E37" i="38" s="1"/>
  <c r="F37" i="38" s="1"/>
  <c r="G35" i="38"/>
  <c r="D35" i="38"/>
  <c r="E35" i="38" s="1"/>
  <c r="F35" i="38" s="1"/>
  <c r="G34" i="38"/>
  <c r="D34" i="38"/>
  <c r="E34" i="38" s="1"/>
  <c r="F34" i="38" s="1"/>
  <c r="G33" i="38"/>
  <c r="D33" i="38"/>
  <c r="E33" i="38" s="1"/>
  <c r="F33" i="38" s="1"/>
  <c r="G32" i="38"/>
  <c r="D32" i="38"/>
  <c r="E32" i="38" s="1"/>
  <c r="F32" i="38" s="1"/>
  <c r="G31" i="38"/>
  <c r="D31" i="38"/>
  <c r="E31" i="38" s="1"/>
  <c r="F31" i="38" s="1"/>
  <c r="G30" i="38"/>
  <c r="D30" i="38"/>
  <c r="E30" i="38" s="1"/>
  <c r="F30" i="38" s="1"/>
  <c r="G29" i="38"/>
  <c r="D29" i="38"/>
  <c r="E29" i="38" s="1"/>
  <c r="F29" i="38" s="1"/>
  <c r="G28" i="38"/>
  <c r="D28" i="38"/>
  <c r="E28" i="38" s="1"/>
  <c r="F28" i="38" s="1"/>
  <c r="G27" i="38"/>
  <c r="D27" i="38"/>
  <c r="E27" i="38" s="1"/>
  <c r="F27" i="38" s="1"/>
  <c r="G26" i="38"/>
  <c r="D26" i="38"/>
  <c r="E26" i="38" s="1"/>
  <c r="F26" i="38" s="1"/>
  <c r="G25" i="38"/>
  <c r="D25" i="38"/>
  <c r="E25" i="38" s="1"/>
  <c r="F25" i="38" s="1"/>
  <c r="G24" i="38"/>
  <c r="D24" i="38"/>
  <c r="E24" i="38" s="1"/>
  <c r="F24" i="38" s="1"/>
  <c r="G23" i="38"/>
  <c r="D23" i="38"/>
  <c r="E23" i="38" s="1"/>
  <c r="F23" i="38" s="1"/>
  <c r="M18" i="38"/>
  <c r="K18" i="38"/>
  <c r="I18" i="38"/>
  <c r="P5" i="38"/>
  <c r="P4" i="38"/>
  <c r="G149" i="29"/>
  <c r="E149" i="29"/>
  <c r="C149" i="29"/>
  <c r="G148" i="29"/>
  <c r="E148" i="29"/>
  <c r="C148" i="29"/>
  <c r="G147" i="29"/>
  <c r="E147" i="29"/>
  <c r="C147" i="29"/>
  <c r="G146" i="29"/>
  <c r="E146" i="29"/>
  <c r="C146" i="29"/>
  <c r="I520" i="20"/>
  <c r="N520" i="20"/>
  <c r="G516" i="20"/>
  <c r="D516" i="20"/>
  <c r="E516" i="20" s="1"/>
  <c r="F516" i="20" s="1"/>
  <c r="G515" i="20"/>
  <c r="D515" i="20"/>
  <c r="E515" i="20" s="1"/>
  <c r="F515" i="20" s="1"/>
  <c r="G514" i="20"/>
  <c r="D514" i="20"/>
  <c r="E514" i="20" s="1"/>
  <c r="F514" i="20" s="1"/>
  <c r="G513" i="20"/>
  <c r="D513" i="20"/>
  <c r="E513" i="20" s="1"/>
  <c r="F513" i="20" s="1"/>
  <c r="M508" i="20"/>
  <c r="L508" i="20"/>
  <c r="K508" i="20"/>
  <c r="J508" i="20"/>
  <c r="I508" i="20"/>
  <c r="E768" i="29"/>
  <c r="E767" i="29"/>
  <c r="E766" i="29"/>
  <c r="G768" i="29"/>
  <c r="C768" i="29"/>
  <c r="N484" i="20"/>
  <c r="G483" i="20"/>
  <c r="D483" i="20"/>
  <c r="E483" i="20" s="1"/>
  <c r="F483" i="20" s="1"/>
  <c r="G482" i="20"/>
  <c r="D482" i="20"/>
  <c r="E482" i="20" s="1"/>
  <c r="F482" i="20" s="1"/>
  <c r="G481" i="20"/>
  <c r="D481" i="20"/>
  <c r="E481" i="20" s="1"/>
  <c r="F481" i="20" s="1"/>
  <c r="M476" i="20"/>
  <c r="L476" i="20"/>
  <c r="K476" i="20"/>
  <c r="J476" i="20"/>
  <c r="I476" i="20"/>
  <c r="E760" i="29"/>
  <c r="E759" i="29"/>
  <c r="E758" i="29"/>
  <c r="G760" i="29"/>
  <c r="C760" i="29"/>
  <c r="G452" i="20"/>
  <c r="D452" i="20"/>
  <c r="E452" i="20" s="1"/>
  <c r="F452" i="20" s="1"/>
  <c r="D451" i="20"/>
  <c r="E451" i="20" s="1"/>
  <c r="F451" i="20" s="1"/>
  <c r="D450" i="20"/>
  <c r="E450" i="20" s="1"/>
  <c r="F450" i="20" s="1"/>
  <c r="N455" i="20"/>
  <c r="N453" i="20"/>
  <c r="G451" i="20"/>
  <c r="G450" i="20"/>
  <c r="M445" i="20"/>
  <c r="L445" i="20"/>
  <c r="K445" i="20"/>
  <c r="J445" i="20"/>
  <c r="I445" i="20"/>
  <c r="G775" i="29"/>
  <c r="E775" i="29"/>
  <c r="C775" i="29"/>
  <c r="C152" i="29"/>
  <c r="E152" i="29"/>
  <c r="N424" i="20"/>
  <c r="N423" i="20"/>
  <c r="N422" i="20"/>
  <c r="G421" i="20"/>
  <c r="D421" i="20"/>
  <c r="E421" i="20" s="1"/>
  <c r="F421" i="20" s="1"/>
  <c r="G420" i="20"/>
  <c r="D420" i="20"/>
  <c r="E420" i="20" s="1"/>
  <c r="F420" i="20" s="1"/>
  <c r="M415" i="20"/>
  <c r="L415" i="20"/>
  <c r="K415" i="20"/>
  <c r="J415" i="20"/>
  <c r="I415" i="20"/>
  <c r="C832" i="29"/>
  <c r="E832" i="29"/>
  <c r="G832" i="29"/>
  <c r="C830" i="29"/>
  <c r="E830" i="29"/>
  <c r="G830" i="29"/>
  <c r="G831" i="29"/>
  <c r="E831" i="29"/>
  <c r="C831" i="29"/>
  <c r="G829" i="29"/>
  <c r="E829" i="29"/>
  <c r="C829" i="29"/>
  <c r="C834" i="29"/>
  <c r="C833" i="29"/>
  <c r="G835" i="29"/>
  <c r="G834" i="29"/>
  <c r="G833" i="29"/>
  <c r="G828" i="29"/>
  <c r="C828" i="29"/>
  <c r="G827" i="29"/>
  <c r="E835" i="29"/>
  <c r="C835" i="29"/>
  <c r="E828" i="29"/>
  <c r="C827" i="29"/>
  <c r="E827" i="29"/>
  <c r="G826" i="29"/>
  <c r="E826" i="29"/>
  <c r="C826" i="29"/>
  <c r="G825" i="29"/>
  <c r="E825" i="29"/>
  <c r="C825" i="29"/>
  <c r="G823" i="29"/>
  <c r="E823" i="29"/>
  <c r="C823" i="29"/>
  <c r="G822" i="29"/>
  <c r="E822" i="29"/>
  <c r="C822" i="29"/>
  <c r="C815" i="29"/>
  <c r="C814" i="29"/>
  <c r="E815" i="29"/>
  <c r="E814" i="29"/>
  <c r="N394" i="20"/>
  <c r="N393" i="20"/>
  <c r="N392" i="20"/>
  <c r="G391" i="20"/>
  <c r="D391" i="20"/>
  <c r="E391" i="20" s="1"/>
  <c r="F391" i="20" s="1"/>
  <c r="G390" i="20"/>
  <c r="D390" i="20"/>
  <c r="E390" i="20" s="1"/>
  <c r="F390" i="20" s="1"/>
  <c r="M385" i="20"/>
  <c r="L385" i="20"/>
  <c r="K385" i="20"/>
  <c r="J385" i="20"/>
  <c r="I385" i="20"/>
  <c r="C204" i="29"/>
  <c r="C203" i="29"/>
  <c r="C202" i="29"/>
  <c r="E204" i="29"/>
  <c r="E203" i="29"/>
  <c r="E202" i="29"/>
  <c r="G205" i="29"/>
  <c r="G204" i="29"/>
  <c r="G203" i="29"/>
  <c r="G202" i="29"/>
  <c r="C195" i="29"/>
  <c r="E195" i="29"/>
  <c r="C194" i="29"/>
  <c r="E194" i="29"/>
  <c r="G195" i="29"/>
  <c r="G194" i="29"/>
  <c r="C239" i="29"/>
  <c r="E239" i="29"/>
  <c r="G242" i="29"/>
  <c r="C234" i="29"/>
  <c r="C233" i="29"/>
  <c r="E234" i="29"/>
  <c r="E233" i="29"/>
  <c r="C229" i="29"/>
  <c r="C228" i="29"/>
  <c r="C227" i="29"/>
  <c r="C226" i="29"/>
  <c r="C225" i="29"/>
  <c r="C224" i="29"/>
  <c r="C223" i="29"/>
  <c r="C222" i="29"/>
  <c r="C221" i="29"/>
  <c r="C220" i="29"/>
  <c r="C219" i="29"/>
  <c r="C218" i="29"/>
  <c r="C217" i="29"/>
  <c r="C216" i="29"/>
  <c r="C215" i="29"/>
  <c r="C214" i="29"/>
  <c r="C213" i="29"/>
  <c r="C212" i="29"/>
  <c r="E229" i="29"/>
  <c r="E228" i="29"/>
  <c r="E227" i="29"/>
  <c r="E226" i="29"/>
  <c r="E225" i="29"/>
  <c r="E224" i="29"/>
  <c r="E223" i="29"/>
  <c r="E222" i="29"/>
  <c r="E221" i="29"/>
  <c r="E220" i="29"/>
  <c r="E219" i="29"/>
  <c r="E218" i="29"/>
  <c r="E217" i="29"/>
  <c r="E216" i="29"/>
  <c r="E215" i="29"/>
  <c r="E214" i="29"/>
  <c r="E213" i="29"/>
  <c r="E212" i="29"/>
  <c r="C211" i="29"/>
  <c r="E211" i="29"/>
  <c r="K360" i="20"/>
  <c r="N360" i="20" s="1"/>
  <c r="Q360" i="20" s="1"/>
  <c r="K369" i="37" s="1"/>
  <c r="E369" i="37" s="1"/>
  <c r="G360" i="20"/>
  <c r="D360" i="20"/>
  <c r="E360" i="20" s="1"/>
  <c r="F360" i="20" s="1"/>
  <c r="G359" i="20"/>
  <c r="D359" i="20"/>
  <c r="E359" i="20" s="1"/>
  <c r="F359" i="20" s="1"/>
  <c r="G358" i="20"/>
  <c r="D358" i="20"/>
  <c r="E358" i="20" s="1"/>
  <c r="F358" i="20" s="1"/>
  <c r="G350" i="20"/>
  <c r="D350" i="20"/>
  <c r="E350" i="20" s="1"/>
  <c r="F350" i="20" s="1"/>
  <c r="G349" i="20"/>
  <c r="D349" i="20"/>
  <c r="E349" i="20" s="1"/>
  <c r="F349" i="20" s="1"/>
  <c r="G357" i="20"/>
  <c r="D357" i="20"/>
  <c r="E357" i="20" s="1"/>
  <c r="F357" i="20" s="1"/>
  <c r="G356" i="20"/>
  <c r="D356" i="20"/>
  <c r="E356" i="20" s="1"/>
  <c r="F356" i="20" s="1"/>
  <c r="G355" i="20"/>
  <c r="D355" i="20"/>
  <c r="E355" i="20" s="1"/>
  <c r="F355" i="20" s="1"/>
  <c r="G354" i="20"/>
  <c r="D354" i="20"/>
  <c r="E354" i="20" s="1"/>
  <c r="F354" i="20" s="1"/>
  <c r="G353" i="20"/>
  <c r="D353" i="20"/>
  <c r="E353" i="20" s="1"/>
  <c r="F353" i="20" s="1"/>
  <c r="G352" i="20"/>
  <c r="D352" i="20"/>
  <c r="E352" i="20" s="1"/>
  <c r="F352" i="20" s="1"/>
  <c r="G351" i="20"/>
  <c r="D351" i="20"/>
  <c r="E351" i="20" s="1"/>
  <c r="F351" i="20" s="1"/>
  <c r="G348" i="20"/>
  <c r="D348" i="20"/>
  <c r="E348" i="20" s="1"/>
  <c r="F348" i="20" s="1"/>
  <c r="G347" i="20"/>
  <c r="D347" i="20"/>
  <c r="E347" i="20" s="1"/>
  <c r="F347" i="20" s="1"/>
  <c r="G346" i="20"/>
  <c r="D346" i="20"/>
  <c r="E346" i="20" s="1"/>
  <c r="F346" i="20" s="1"/>
  <c r="G345" i="20"/>
  <c r="D345" i="20"/>
  <c r="E345" i="20" s="1"/>
  <c r="F345" i="20" s="1"/>
  <c r="G344" i="20"/>
  <c r="D344" i="20"/>
  <c r="E344" i="20" s="1"/>
  <c r="F344" i="20" s="1"/>
  <c r="G343" i="20"/>
  <c r="D343" i="20"/>
  <c r="E343" i="20" s="1"/>
  <c r="F343" i="20" s="1"/>
  <c r="G342" i="20"/>
  <c r="D342" i="20"/>
  <c r="E342" i="20" s="1"/>
  <c r="F342" i="20" s="1"/>
  <c r="G341" i="20"/>
  <c r="D341" i="20"/>
  <c r="E341" i="20" s="1"/>
  <c r="F341" i="20" s="1"/>
  <c r="G340" i="20"/>
  <c r="D340" i="20"/>
  <c r="E340" i="20" s="1"/>
  <c r="F340" i="20" s="1"/>
  <c r="G339" i="20"/>
  <c r="D339" i="20"/>
  <c r="E339" i="20" s="1"/>
  <c r="F339" i="20" s="1"/>
  <c r="U306" i="20"/>
  <c r="V304" i="20" s="1"/>
  <c r="W304" i="20" s="1"/>
  <c r="G338" i="20"/>
  <c r="D338" i="20"/>
  <c r="E338" i="20" s="1"/>
  <c r="F338" i="20" s="1"/>
  <c r="G337" i="20"/>
  <c r="D337" i="20"/>
  <c r="E337" i="20" s="1"/>
  <c r="F337" i="20" s="1"/>
  <c r="M332" i="20"/>
  <c r="L332" i="20"/>
  <c r="K332" i="20"/>
  <c r="J332" i="20"/>
  <c r="I332" i="20"/>
  <c r="L395" i="37"/>
  <c r="F395" i="37" s="1"/>
  <c r="K395" i="37"/>
  <c r="E395" i="37" s="1"/>
  <c r="J395" i="37"/>
  <c r="D395" i="37" s="1"/>
  <c r="L394" i="37"/>
  <c r="F394" i="37" s="1"/>
  <c r="K394" i="37"/>
  <c r="E394" i="37" s="1"/>
  <c r="J394" i="37"/>
  <c r="D394" i="37" s="1"/>
  <c r="C251" i="29"/>
  <c r="C250" i="29"/>
  <c r="G251" i="29"/>
  <c r="G250" i="29"/>
  <c r="E251" i="29"/>
  <c r="E250" i="29"/>
  <c r="N311" i="20"/>
  <c r="R311" i="20" s="1"/>
  <c r="N310" i="20"/>
  <c r="R310" i="20" s="1"/>
  <c r="N309" i="20"/>
  <c r="R309" i="20" s="1"/>
  <c r="N308" i="20"/>
  <c r="N307" i="20"/>
  <c r="N306" i="20"/>
  <c r="Q306" i="20" s="1"/>
  <c r="G305" i="20"/>
  <c r="D305" i="20"/>
  <c r="E305" i="20" s="1"/>
  <c r="F305" i="20" s="1"/>
  <c r="G304" i="20"/>
  <c r="D304" i="20"/>
  <c r="E304" i="20" s="1"/>
  <c r="F304" i="20" s="1"/>
  <c r="M299" i="20"/>
  <c r="L299" i="20"/>
  <c r="K299" i="20"/>
  <c r="J299" i="20"/>
  <c r="I299" i="20"/>
  <c r="C170" i="29"/>
  <c r="C169" i="29"/>
  <c r="E170" i="29"/>
  <c r="E169" i="29"/>
  <c r="N278" i="20"/>
  <c r="R278" i="20" s="1"/>
  <c r="N277" i="20"/>
  <c r="R277" i="20"/>
  <c r="N276" i="20"/>
  <c r="R276" i="20" s="1"/>
  <c r="N275" i="20"/>
  <c r="N274" i="20"/>
  <c r="N273" i="20"/>
  <c r="Q273" i="20" s="1"/>
  <c r="G272" i="20"/>
  <c r="D272" i="20"/>
  <c r="E272" i="20" s="1"/>
  <c r="F272" i="20" s="1"/>
  <c r="G271" i="20"/>
  <c r="D271" i="20"/>
  <c r="E271" i="20" s="1"/>
  <c r="F271" i="20" s="1"/>
  <c r="M266" i="20"/>
  <c r="L266" i="20"/>
  <c r="K266" i="20"/>
  <c r="J266" i="20"/>
  <c r="I266" i="20"/>
  <c r="G165" i="20"/>
  <c r="G164" i="20"/>
  <c r="C208" i="29"/>
  <c r="C207" i="29"/>
  <c r="C579" i="29"/>
  <c r="C578" i="29"/>
  <c r="C577" i="29"/>
  <c r="G208" i="29"/>
  <c r="G207" i="29"/>
  <c r="E208" i="29"/>
  <c r="E207" i="29"/>
  <c r="C755" i="29"/>
  <c r="C754" i="29"/>
  <c r="C748" i="29"/>
  <c r="G245" i="20"/>
  <c r="G244" i="20"/>
  <c r="G243" i="20"/>
  <c r="G242" i="20"/>
  <c r="G241" i="20"/>
  <c r="G240" i="20"/>
  <c r="G239" i="20"/>
  <c r="G238" i="20"/>
  <c r="G237" i="20"/>
  <c r="G236" i="20"/>
  <c r="G234" i="20"/>
  <c r="G233" i="20"/>
  <c r="G232" i="20"/>
  <c r="D245" i="20"/>
  <c r="E245" i="20" s="1"/>
  <c r="F245" i="20" s="1"/>
  <c r="D244" i="20"/>
  <c r="E244" i="20" s="1"/>
  <c r="F244" i="20" s="1"/>
  <c r="D243" i="20"/>
  <c r="E243" i="20" s="1"/>
  <c r="F243" i="20" s="1"/>
  <c r="D242" i="20"/>
  <c r="E242" i="20" s="1"/>
  <c r="F242" i="20" s="1"/>
  <c r="D241" i="20"/>
  <c r="E241" i="20" s="1"/>
  <c r="F241" i="20" s="1"/>
  <c r="D240" i="20"/>
  <c r="E240" i="20" s="1"/>
  <c r="F240" i="20" s="1"/>
  <c r="D239" i="20"/>
  <c r="E239" i="20" s="1"/>
  <c r="F239" i="20" s="1"/>
  <c r="D238" i="20"/>
  <c r="E238" i="20" s="1"/>
  <c r="F238" i="20" s="1"/>
  <c r="D237" i="20"/>
  <c r="E237" i="20" s="1"/>
  <c r="F237" i="20" s="1"/>
  <c r="D236" i="20"/>
  <c r="E236" i="20" s="1"/>
  <c r="F236" i="20" s="1"/>
  <c r="D235" i="20"/>
  <c r="E235" i="20" s="1"/>
  <c r="F235" i="20" s="1"/>
  <c r="D234" i="20"/>
  <c r="E234" i="20" s="1"/>
  <c r="F234" i="20" s="1"/>
  <c r="D233" i="20"/>
  <c r="E233" i="20" s="1"/>
  <c r="F233" i="20" s="1"/>
  <c r="D232" i="20"/>
  <c r="E232" i="20" s="1"/>
  <c r="F232" i="20" s="1"/>
  <c r="G231" i="20"/>
  <c r="D231" i="20"/>
  <c r="E231" i="20" s="1"/>
  <c r="F231" i="20" s="1"/>
  <c r="G230" i="20"/>
  <c r="D230" i="20"/>
  <c r="E230" i="20" s="1"/>
  <c r="F230" i="20" s="1"/>
  <c r="G229" i="20"/>
  <c r="D229" i="20"/>
  <c r="E229" i="20" s="1"/>
  <c r="F229" i="20" s="1"/>
  <c r="D199" i="20"/>
  <c r="E199" i="20" s="1"/>
  <c r="F199" i="20" s="1"/>
  <c r="D198" i="20"/>
  <c r="E198" i="20" s="1"/>
  <c r="F198" i="20" s="1"/>
  <c r="D197" i="20"/>
  <c r="E197" i="20" s="1"/>
  <c r="F197" i="20" s="1"/>
  <c r="D196" i="20"/>
  <c r="E196" i="20" s="1"/>
  <c r="F196" i="20" s="1"/>
  <c r="M224" i="20"/>
  <c r="L224" i="20"/>
  <c r="K224" i="20"/>
  <c r="J224" i="20"/>
  <c r="I224" i="20"/>
  <c r="G199" i="20"/>
  <c r="G198" i="20"/>
  <c r="G197" i="20"/>
  <c r="G196" i="20"/>
  <c r="G711" i="29"/>
  <c r="E711" i="29"/>
  <c r="C711" i="29"/>
  <c r="C753" i="29"/>
  <c r="C752" i="29"/>
  <c r="C751" i="29"/>
  <c r="G772" i="29"/>
  <c r="E772" i="29"/>
  <c r="C772" i="29"/>
  <c r="E739" i="29"/>
  <c r="E710" i="29"/>
  <c r="E736" i="29"/>
  <c r="G710" i="29"/>
  <c r="C710" i="29"/>
  <c r="Q196" i="20"/>
  <c r="M191" i="20"/>
  <c r="L191" i="20"/>
  <c r="K191" i="20"/>
  <c r="J191" i="20"/>
  <c r="I191" i="20"/>
  <c r="G158" i="29"/>
  <c r="E158" i="29"/>
  <c r="C158" i="29"/>
  <c r="E145" i="29"/>
  <c r="E144" i="29"/>
  <c r="E143" i="29"/>
  <c r="G145" i="29"/>
  <c r="G144" i="29"/>
  <c r="G143" i="29"/>
  <c r="C145" i="29"/>
  <c r="C144" i="29"/>
  <c r="C143" i="29"/>
  <c r="N170" i="20"/>
  <c r="R170" i="20" s="1"/>
  <c r="N169" i="20"/>
  <c r="R169" i="20"/>
  <c r="N168" i="20"/>
  <c r="R168" i="20" s="1"/>
  <c r="N167" i="20"/>
  <c r="N166" i="20"/>
  <c r="D165" i="20"/>
  <c r="E165" i="20" s="1"/>
  <c r="F165" i="20" s="1"/>
  <c r="D164" i="20"/>
  <c r="E164" i="20" s="1"/>
  <c r="F164" i="20" s="1"/>
  <c r="G163" i="20"/>
  <c r="D163" i="20"/>
  <c r="E163" i="20" s="1"/>
  <c r="F163" i="20" s="1"/>
  <c r="M158" i="20"/>
  <c r="L158" i="20"/>
  <c r="K158" i="20"/>
  <c r="J158" i="20"/>
  <c r="I158" i="20"/>
  <c r="E115" i="29"/>
  <c r="C115" i="29"/>
  <c r="G69" i="29"/>
  <c r="G68" i="29"/>
  <c r="G67" i="29"/>
  <c r="C69" i="29"/>
  <c r="C68" i="29"/>
  <c r="C67" i="29"/>
  <c r="E69" i="29"/>
  <c r="E68" i="29"/>
  <c r="E67" i="29"/>
  <c r="J98" i="20"/>
  <c r="I98" i="20" s="1"/>
  <c r="N98" i="20" s="1"/>
  <c r="P98" i="20" s="1"/>
  <c r="J334" i="37" s="1"/>
  <c r="D334" i="37" s="1"/>
  <c r="D98" i="20"/>
  <c r="E98" i="20" s="1"/>
  <c r="F98" i="20" s="1"/>
  <c r="G98" i="20"/>
  <c r="K334" i="37"/>
  <c r="E334" i="37" s="1"/>
  <c r="L334" i="37"/>
  <c r="F334" i="37" s="1"/>
  <c r="G82" i="29"/>
  <c r="E82" i="29"/>
  <c r="C82" i="29"/>
  <c r="C81" i="29"/>
  <c r="E81" i="29"/>
  <c r="C73" i="29"/>
  <c r="C72" i="29"/>
  <c r="C71" i="29"/>
  <c r="E73" i="29"/>
  <c r="E72" i="29"/>
  <c r="E71" i="29"/>
  <c r="C75" i="29"/>
  <c r="C74" i="29"/>
  <c r="G75" i="29"/>
  <c r="E75" i="29"/>
  <c r="E74" i="29"/>
  <c r="G126" i="29"/>
  <c r="E126" i="29"/>
  <c r="C126" i="29"/>
  <c r="G84" i="29"/>
  <c r="E84" i="29"/>
  <c r="C84" i="29"/>
  <c r="G80" i="29"/>
  <c r="E80" i="29"/>
  <c r="C80" i="29"/>
  <c r="G79" i="29"/>
  <c r="E79" i="29"/>
  <c r="C79" i="29"/>
  <c r="C45" i="29"/>
  <c r="E185" i="29"/>
  <c r="G848" i="29"/>
  <c r="G847" i="29"/>
  <c r="G846" i="29"/>
  <c r="G845" i="29"/>
  <c r="G844" i="29"/>
  <c r="G842" i="29"/>
  <c r="G841" i="29"/>
  <c r="G840" i="29"/>
  <c r="G839" i="29"/>
  <c r="G821" i="29"/>
  <c r="G820" i="29"/>
  <c r="G815" i="29"/>
  <c r="G814" i="29"/>
  <c r="G810" i="29"/>
  <c r="G807" i="29"/>
  <c r="G806" i="29"/>
  <c r="G805" i="29"/>
  <c r="G802" i="29"/>
  <c r="G801" i="29"/>
  <c r="G800" i="29"/>
  <c r="G795" i="29"/>
  <c r="G794" i="29"/>
  <c r="G793" i="29"/>
  <c r="G792" i="29"/>
  <c r="G791" i="29"/>
  <c r="G790" i="29"/>
  <c r="G788" i="29"/>
  <c r="G785" i="29"/>
  <c r="G784" i="29"/>
  <c r="G781" i="29"/>
  <c r="G780" i="29"/>
  <c r="G771" i="29"/>
  <c r="G767" i="29"/>
  <c r="G766" i="29"/>
  <c r="G763" i="29"/>
  <c r="G759" i="29"/>
  <c r="G758" i="29"/>
  <c r="G739" i="29"/>
  <c r="G736" i="29"/>
  <c r="G735" i="29"/>
  <c r="G734" i="29"/>
  <c r="G733" i="29"/>
  <c r="G730" i="29"/>
  <c r="G725" i="29"/>
  <c r="G722" i="29"/>
  <c r="G721" i="29"/>
  <c r="G720" i="29"/>
  <c r="G717" i="29"/>
  <c r="G716" i="29"/>
  <c r="G707" i="29"/>
  <c r="G704" i="29"/>
  <c r="G703" i="29"/>
  <c r="G700" i="29"/>
  <c r="G699" i="29"/>
  <c r="G694" i="29"/>
  <c r="G693" i="29"/>
  <c r="G692" i="29"/>
  <c r="G691" i="29"/>
  <c r="G690" i="29"/>
  <c r="G689" i="29"/>
  <c r="G688" i="29"/>
  <c r="G687" i="29"/>
  <c r="G684" i="29"/>
  <c r="G683" i="29"/>
  <c r="G682" i="29"/>
  <c r="G673" i="29"/>
  <c r="G672" i="29"/>
  <c r="G671" i="29"/>
  <c r="G670" i="29"/>
  <c r="G669" i="29"/>
  <c r="G668" i="29"/>
  <c r="G667" i="29"/>
  <c r="G666" i="29"/>
  <c r="G665" i="29"/>
  <c r="G664" i="29"/>
  <c r="G663" i="29"/>
  <c r="G662" i="29"/>
  <c r="G661" i="29"/>
  <c r="G660" i="29"/>
  <c r="G659" i="29"/>
  <c r="G658" i="29"/>
  <c r="G657" i="29"/>
  <c r="G656" i="29"/>
  <c r="G655" i="29"/>
  <c r="G654" i="29"/>
  <c r="G653" i="29"/>
  <c r="G650" i="29"/>
  <c r="G649" i="29"/>
  <c r="G648" i="29"/>
  <c r="G647" i="29"/>
  <c r="G646" i="29"/>
  <c r="G643" i="29"/>
  <c r="G642" i="29"/>
  <c r="G641" i="29"/>
  <c r="G640" i="29"/>
  <c r="G639" i="29"/>
  <c r="G638" i="29"/>
  <c r="G637" i="29"/>
  <c r="G636" i="29"/>
  <c r="G635" i="29"/>
  <c r="G634" i="29"/>
  <c r="G633" i="29"/>
  <c r="G632" i="29"/>
  <c r="G631" i="29"/>
  <c r="G628" i="29"/>
  <c r="G627" i="29"/>
  <c r="G626" i="29"/>
  <c r="G625" i="29"/>
  <c r="G624" i="29"/>
  <c r="G623" i="29"/>
  <c r="G622" i="29"/>
  <c r="G621" i="29"/>
  <c r="G620" i="29"/>
  <c r="G619" i="29"/>
  <c r="G618" i="29"/>
  <c r="G617" i="29"/>
  <c r="G616" i="29"/>
  <c r="G615" i="29"/>
  <c r="G614" i="29"/>
  <c r="G613" i="29"/>
  <c r="G612" i="29"/>
  <c r="G609" i="29"/>
  <c r="G608" i="29"/>
  <c r="G607" i="29"/>
  <c r="G606" i="29"/>
  <c r="G605" i="29"/>
  <c r="G604" i="29"/>
  <c r="G602" i="29"/>
  <c r="G601" i="29"/>
  <c r="G600" i="29"/>
  <c r="G597" i="29"/>
  <c r="G596" i="29"/>
  <c r="G595" i="29"/>
  <c r="G594" i="29"/>
  <c r="G593" i="29"/>
  <c r="G592" i="29"/>
  <c r="G591" i="29"/>
  <c r="G590" i="29"/>
  <c r="G589" i="29"/>
  <c r="G588" i="29"/>
  <c r="G583" i="29"/>
  <c r="G582" i="29"/>
  <c r="G568" i="29"/>
  <c r="G566" i="29"/>
  <c r="G567" i="29"/>
  <c r="G565" i="29"/>
  <c r="G564" i="29"/>
  <c r="G563" i="29"/>
  <c r="G562" i="29"/>
  <c r="G560" i="29"/>
  <c r="G559" i="29"/>
  <c r="G556" i="29"/>
  <c r="G555" i="29"/>
  <c r="G554" i="29"/>
  <c r="G553" i="29"/>
  <c r="G552" i="29"/>
  <c r="G551" i="29"/>
  <c r="G545" i="29"/>
  <c r="G544" i="29"/>
  <c r="G543" i="29"/>
  <c r="G542" i="29"/>
  <c r="G541" i="29"/>
  <c r="G540" i="29"/>
  <c r="G531" i="29"/>
  <c r="G530" i="29"/>
  <c r="G529" i="29"/>
  <c r="G526" i="29"/>
  <c r="G525" i="29"/>
  <c r="G524" i="29"/>
  <c r="G523" i="29"/>
  <c r="G522" i="29"/>
  <c r="G521" i="29"/>
  <c r="G520" i="29"/>
  <c r="G519" i="29"/>
  <c r="G518" i="29"/>
  <c r="G517" i="29"/>
  <c r="G516" i="29"/>
  <c r="G515" i="29"/>
  <c r="G514" i="29"/>
  <c r="G513" i="29"/>
  <c r="G512" i="29"/>
  <c r="G511" i="29"/>
  <c r="G510" i="29"/>
  <c r="G509" i="29"/>
  <c r="G506" i="29"/>
  <c r="G505" i="29"/>
  <c r="G504" i="29"/>
  <c r="G501" i="29"/>
  <c r="G500" i="29"/>
  <c r="G499" i="29"/>
  <c r="G498" i="29"/>
  <c r="G497" i="29"/>
  <c r="G496" i="29"/>
  <c r="G495" i="29"/>
  <c r="G494" i="29"/>
  <c r="G473" i="29"/>
  <c r="G472" i="29"/>
  <c r="G468" i="29"/>
  <c r="G467" i="29"/>
  <c r="G464" i="29"/>
  <c r="G463" i="29"/>
  <c r="G462" i="29"/>
  <c r="G461" i="29"/>
  <c r="G458" i="29"/>
  <c r="G457" i="29"/>
  <c r="G456" i="29"/>
  <c r="G451" i="29"/>
  <c r="G450" i="29"/>
  <c r="G449" i="29"/>
  <c r="G448" i="29"/>
  <c r="G446" i="29"/>
  <c r="G442" i="29"/>
  <c r="G440" i="29"/>
  <c r="G436" i="29"/>
  <c r="G435" i="29"/>
  <c r="G432" i="29"/>
  <c r="G428" i="29"/>
  <c r="G427" i="29"/>
  <c r="G426" i="29"/>
  <c r="G425" i="29"/>
  <c r="G399" i="29"/>
  <c r="G396" i="29"/>
  <c r="G395" i="29"/>
  <c r="G394" i="29"/>
  <c r="G393" i="29"/>
  <c r="G392" i="29"/>
  <c r="G391" i="29"/>
  <c r="G390" i="29"/>
  <c r="G389" i="29"/>
  <c r="G388" i="29"/>
  <c r="G387" i="29"/>
  <c r="G386" i="29"/>
  <c r="G385" i="29"/>
  <c r="G384" i="29"/>
  <c r="G381" i="29"/>
  <c r="G380" i="29"/>
  <c r="G376" i="29"/>
  <c r="G375" i="29"/>
  <c r="G374" i="29"/>
  <c r="G373" i="29"/>
  <c r="G372" i="29"/>
  <c r="G371" i="29"/>
  <c r="G370" i="29"/>
  <c r="G369" i="29"/>
  <c r="G368" i="29"/>
  <c r="G367" i="29"/>
  <c r="G366" i="29"/>
  <c r="G365" i="29"/>
  <c r="G364" i="29"/>
  <c r="G363" i="29"/>
  <c r="G362" i="29"/>
  <c r="G361" i="29"/>
  <c r="G360" i="29"/>
  <c r="G359" i="29"/>
  <c r="G358" i="29"/>
  <c r="G357" i="29"/>
  <c r="G356" i="29"/>
  <c r="G355" i="29"/>
  <c r="G354" i="29"/>
  <c r="G353" i="29"/>
  <c r="G350" i="29"/>
  <c r="G349" i="29"/>
  <c r="G348" i="29"/>
  <c r="G347" i="29"/>
  <c r="G346" i="29"/>
  <c r="G345" i="29"/>
  <c r="G344" i="29"/>
  <c r="G343" i="29"/>
  <c r="G342" i="29"/>
  <c r="G341" i="29"/>
  <c r="G340" i="29"/>
  <c r="G339" i="29"/>
  <c r="G338" i="29"/>
  <c r="G335" i="29"/>
  <c r="G334" i="29"/>
  <c r="G333" i="29"/>
  <c r="G332" i="29"/>
  <c r="G331" i="29"/>
  <c r="G330" i="29"/>
  <c r="G329" i="29"/>
  <c r="G328" i="29"/>
  <c r="G327" i="29"/>
  <c r="G326" i="29"/>
  <c r="G325" i="29"/>
  <c r="G324" i="29"/>
  <c r="G323" i="29"/>
  <c r="G322" i="29"/>
  <c r="G321" i="29"/>
  <c r="G320" i="29"/>
  <c r="G319" i="29"/>
  <c r="G318" i="29"/>
  <c r="G317" i="29"/>
  <c r="G316" i="29"/>
  <c r="G315" i="29"/>
  <c r="G314" i="29"/>
  <c r="G313" i="29"/>
  <c r="G310" i="29"/>
  <c r="G309" i="29"/>
  <c r="G308" i="29"/>
  <c r="G307" i="29"/>
  <c r="G299" i="29"/>
  <c r="G298" i="29"/>
  <c r="G297" i="29"/>
  <c r="G296" i="29"/>
  <c r="G293" i="29"/>
  <c r="G292" i="29"/>
  <c r="G291" i="29"/>
  <c r="G290" i="29"/>
  <c r="G289" i="29"/>
  <c r="G288" i="29"/>
  <c r="G285" i="29"/>
  <c r="G284" i="29"/>
  <c r="G283" i="29"/>
  <c r="G282" i="29"/>
  <c r="G281" i="29"/>
  <c r="G280" i="29"/>
  <c r="G279" i="29"/>
  <c r="G278" i="29"/>
  <c r="G277" i="29"/>
  <c r="G274" i="29"/>
  <c r="G273" i="29"/>
  <c r="G272" i="29"/>
  <c r="G271" i="29"/>
  <c r="G270" i="29"/>
  <c r="G269" i="29"/>
  <c r="G268" i="29"/>
  <c r="G267" i="29"/>
  <c r="G266" i="29"/>
  <c r="G265" i="29"/>
  <c r="G264" i="29"/>
  <c r="G263" i="29"/>
  <c r="G262" i="29"/>
  <c r="G261" i="29"/>
  <c r="G260" i="29"/>
  <c r="G259" i="29"/>
  <c r="G241" i="29"/>
  <c r="G240" i="29"/>
  <c r="G239" i="29"/>
  <c r="G238" i="29"/>
  <c r="G237" i="29"/>
  <c r="G234" i="29"/>
  <c r="G233" i="29"/>
  <c r="G229" i="29"/>
  <c r="G228" i="29"/>
  <c r="G227" i="29"/>
  <c r="G226" i="29"/>
  <c r="G225" i="29"/>
  <c r="G224" i="29"/>
  <c r="G223" i="29"/>
  <c r="G222" i="29"/>
  <c r="G221" i="29"/>
  <c r="G220" i="29"/>
  <c r="G219" i="29"/>
  <c r="G218" i="29"/>
  <c r="G217" i="29"/>
  <c r="G216" i="29"/>
  <c r="G215" i="29"/>
  <c r="G214" i="29"/>
  <c r="G213" i="29"/>
  <c r="G212" i="29"/>
  <c r="G211" i="29"/>
  <c r="G199" i="29"/>
  <c r="G198" i="29"/>
  <c r="G197" i="29"/>
  <c r="G196" i="29"/>
  <c r="G188" i="29"/>
  <c r="G185" i="29"/>
  <c r="G184" i="29"/>
  <c r="G183" i="29"/>
  <c r="G182" i="29"/>
  <c r="G179" i="29"/>
  <c r="G176" i="29"/>
  <c r="G175" i="29"/>
  <c r="G170" i="29"/>
  <c r="G169" i="29"/>
  <c r="G166" i="29"/>
  <c r="G163" i="29"/>
  <c r="G162" i="29"/>
  <c r="G161" i="29"/>
  <c r="G157" i="29"/>
  <c r="G152" i="29"/>
  <c r="G140" i="29"/>
  <c r="G139" i="29"/>
  <c r="G138" i="29"/>
  <c r="G137" i="29"/>
  <c r="G136" i="29"/>
  <c r="G135" i="29"/>
  <c r="G134" i="29"/>
  <c r="G133" i="29"/>
  <c r="G132" i="29"/>
  <c r="G131" i="29"/>
  <c r="G130" i="29"/>
  <c r="G128" i="29"/>
  <c r="G127" i="29"/>
  <c r="G125" i="29"/>
  <c r="G124" i="29"/>
  <c r="G123" i="29"/>
  <c r="G122" i="29"/>
  <c r="G121" i="29"/>
  <c r="G120" i="29"/>
  <c r="G119" i="29"/>
  <c r="G118" i="29"/>
  <c r="G117" i="29"/>
  <c r="G116" i="29"/>
  <c r="G115" i="29"/>
  <c r="G114" i="29"/>
  <c r="G109" i="29"/>
  <c r="G108" i="29"/>
  <c r="G107" i="29"/>
  <c r="G106" i="29"/>
  <c r="G105" i="29"/>
  <c r="G104" i="29"/>
  <c r="G103" i="29"/>
  <c r="G102" i="29"/>
  <c r="G101" i="29"/>
  <c r="G100" i="29"/>
  <c r="G99" i="29"/>
  <c r="G98" i="29"/>
  <c r="G96" i="29"/>
  <c r="G95" i="29"/>
  <c r="G94" i="29"/>
  <c r="G93" i="29"/>
  <c r="G92" i="29"/>
  <c r="G91" i="29"/>
  <c r="G90" i="29"/>
  <c r="G89" i="29"/>
  <c r="G88" i="29"/>
  <c r="G81" i="29"/>
  <c r="G78" i="29"/>
  <c r="G77" i="29"/>
  <c r="G76" i="29"/>
  <c r="G74" i="29"/>
  <c r="G73" i="29"/>
  <c r="G72" i="29"/>
  <c r="G71" i="29"/>
  <c r="G70" i="29"/>
  <c r="G60" i="29"/>
  <c r="G59" i="29"/>
  <c r="G58" i="29"/>
  <c r="G57" i="29"/>
  <c r="G56" i="29"/>
  <c r="G55" i="29"/>
  <c r="G54" i="29"/>
  <c r="G53" i="29"/>
  <c r="G52" i="29"/>
  <c r="G51" i="29"/>
  <c r="G47" i="29"/>
  <c r="G45" i="29"/>
  <c r="G44" i="29"/>
  <c r="G43" i="29"/>
  <c r="G41" i="29"/>
  <c r="G40" i="29"/>
  <c r="G39" i="29"/>
  <c r="G38" i="29"/>
  <c r="G37" i="29"/>
  <c r="G36" i="29"/>
  <c r="G35" i="29"/>
  <c r="G34" i="29"/>
  <c r="G33" i="29"/>
  <c r="G32" i="29"/>
  <c r="G31" i="29"/>
  <c r="G30" i="29"/>
  <c r="G29" i="29"/>
  <c r="G28" i="29"/>
  <c r="G27" i="29"/>
  <c r="G26" i="29"/>
  <c r="G25" i="29"/>
  <c r="G24" i="29"/>
  <c r="G19" i="29"/>
  <c r="G18" i="29"/>
  <c r="G17" i="29"/>
  <c r="G16" i="29"/>
  <c r="G15" i="29"/>
  <c r="G14" i="29"/>
  <c r="G13" i="29"/>
  <c r="G12" i="29"/>
  <c r="G11" i="29"/>
  <c r="E182" i="29"/>
  <c r="E179" i="29"/>
  <c r="E166" i="29"/>
  <c r="E136" i="29"/>
  <c r="E135" i="29"/>
  <c r="E109" i="29"/>
  <c r="C109" i="29"/>
  <c r="E125" i="29"/>
  <c r="C125" i="29"/>
  <c r="E162" i="29"/>
  <c r="C162" i="29"/>
  <c r="E848" i="29"/>
  <c r="E847" i="29"/>
  <c r="E846" i="29"/>
  <c r="E845" i="29"/>
  <c r="E844" i="29"/>
  <c r="E841" i="29"/>
  <c r="E840" i="29"/>
  <c r="E839" i="29"/>
  <c r="C848" i="29"/>
  <c r="C847" i="29"/>
  <c r="C846" i="29"/>
  <c r="C845" i="29"/>
  <c r="C844" i="29"/>
  <c r="C842" i="29"/>
  <c r="C841" i="29"/>
  <c r="C840" i="29"/>
  <c r="C839" i="29"/>
  <c r="E771" i="29"/>
  <c r="C771" i="29"/>
  <c r="E820" i="29"/>
  <c r="C820" i="29"/>
  <c r="E795" i="29"/>
  <c r="C795" i="29"/>
  <c r="C807" i="29"/>
  <c r="C806" i="29"/>
  <c r="C805" i="29"/>
  <c r="C802" i="29"/>
  <c r="C801" i="29"/>
  <c r="C800" i="29"/>
  <c r="E802" i="29"/>
  <c r="E807" i="29"/>
  <c r="E801" i="29"/>
  <c r="E806" i="29"/>
  <c r="E805" i="29"/>
  <c r="E800" i="29"/>
  <c r="E794" i="29"/>
  <c r="E793" i="29"/>
  <c r="E792" i="29"/>
  <c r="E791" i="29"/>
  <c r="C794" i="29"/>
  <c r="C793" i="29"/>
  <c r="E790" i="29"/>
  <c r="E130" i="29"/>
  <c r="C785" i="29"/>
  <c r="C784" i="29"/>
  <c r="E781" i="29"/>
  <c r="C781" i="29"/>
  <c r="E780" i="29"/>
  <c r="E735" i="29"/>
  <c r="E734" i="29"/>
  <c r="E733" i="29"/>
  <c r="C736" i="29"/>
  <c r="C735" i="29"/>
  <c r="C734" i="29"/>
  <c r="E730" i="29"/>
  <c r="C792" i="29"/>
  <c r="C791" i="29"/>
  <c r="C790" i="29"/>
  <c r="C788" i="29"/>
  <c r="C780" i="29"/>
  <c r="C767" i="29"/>
  <c r="C766" i="29"/>
  <c r="C763" i="29"/>
  <c r="C759" i="29"/>
  <c r="C758" i="29"/>
  <c r="C750" i="29"/>
  <c r="C749" i="29"/>
  <c r="C747" i="29"/>
  <c r="C746" i="29"/>
  <c r="C745" i="29"/>
  <c r="C744" i="29"/>
  <c r="C743" i="29"/>
  <c r="C742" i="29"/>
  <c r="C739" i="29"/>
  <c r="C733" i="29"/>
  <c r="C730" i="29"/>
  <c r="E721" i="29"/>
  <c r="E722" i="29"/>
  <c r="E720" i="29"/>
  <c r="E704" i="29"/>
  <c r="E703" i="29"/>
  <c r="E700" i="29"/>
  <c r="E717" i="29"/>
  <c r="E716" i="29"/>
  <c r="E699" i="29"/>
  <c r="C725" i="29"/>
  <c r="C722" i="29"/>
  <c r="C721" i="29"/>
  <c r="C720" i="29"/>
  <c r="C717" i="29"/>
  <c r="C716" i="29"/>
  <c r="C707" i="29"/>
  <c r="C704" i="29"/>
  <c r="C703" i="29"/>
  <c r="C700" i="29"/>
  <c r="C699" i="29"/>
  <c r="E183" i="29"/>
  <c r="C183" i="29"/>
  <c r="E175" i="29"/>
  <c r="E184" i="29"/>
  <c r="E188" i="29"/>
  <c r="C188" i="29"/>
  <c r="C185" i="29"/>
  <c r="C184" i="29"/>
  <c r="C182" i="29"/>
  <c r="C179" i="29"/>
  <c r="C176" i="29"/>
  <c r="C175" i="29"/>
  <c r="C166" i="29"/>
  <c r="C163" i="29"/>
  <c r="C161" i="29"/>
  <c r="E163" i="29"/>
  <c r="E161" i="29"/>
  <c r="E157" i="29"/>
  <c r="C157" i="29"/>
  <c r="E140" i="29"/>
  <c r="E139" i="29"/>
  <c r="E138" i="29"/>
  <c r="E134" i="29"/>
  <c r="E133" i="29"/>
  <c r="E132" i="29"/>
  <c r="E131" i="29"/>
  <c r="C140" i="29"/>
  <c r="C139" i="29"/>
  <c r="C138" i="29"/>
  <c r="C137" i="29"/>
  <c r="C136" i="29"/>
  <c r="C135" i="29"/>
  <c r="C134" i="29"/>
  <c r="C133" i="29"/>
  <c r="C132" i="29"/>
  <c r="C131" i="29"/>
  <c r="C130" i="29"/>
  <c r="E128" i="29"/>
  <c r="E127" i="29"/>
  <c r="C128" i="29"/>
  <c r="C127" i="29"/>
  <c r="E100" i="29"/>
  <c r="C100" i="29"/>
  <c r="E33" i="29"/>
  <c r="C33" i="29"/>
  <c r="E32" i="29"/>
  <c r="C32" i="29"/>
  <c r="E34" i="29"/>
  <c r="E31" i="29"/>
  <c r="E30" i="29"/>
  <c r="E29" i="29"/>
  <c r="E28" i="29"/>
  <c r="E27" i="29"/>
  <c r="C27" i="29"/>
  <c r="C34" i="29"/>
  <c r="C31" i="29"/>
  <c r="C30" i="29"/>
  <c r="C29" i="29"/>
  <c r="C28" i="29"/>
  <c r="N137" i="20"/>
  <c r="R137" i="20"/>
  <c r="N136" i="20"/>
  <c r="R136" i="20" s="1"/>
  <c r="N135" i="20"/>
  <c r="R135" i="20" s="1"/>
  <c r="N134" i="20"/>
  <c r="N133" i="20"/>
  <c r="G132" i="20"/>
  <c r="D132" i="20"/>
  <c r="E132" i="20" s="1"/>
  <c r="F132" i="20" s="1"/>
  <c r="D131" i="20"/>
  <c r="E131" i="20" s="1"/>
  <c r="F131" i="20" s="1"/>
  <c r="G130" i="20"/>
  <c r="D130" i="20"/>
  <c r="E130" i="20" s="1"/>
  <c r="F130" i="20" s="1"/>
  <c r="M125" i="20"/>
  <c r="L125" i="20"/>
  <c r="K125" i="20"/>
  <c r="J125" i="20"/>
  <c r="I125" i="20"/>
  <c r="N112" i="20"/>
  <c r="N111" i="20"/>
  <c r="N104" i="20"/>
  <c r="R104" i="20" s="1"/>
  <c r="N103" i="20"/>
  <c r="R103" i="20" s="1"/>
  <c r="N102" i="20"/>
  <c r="R102" i="20" s="1"/>
  <c r="N101" i="20"/>
  <c r="R101" i="20" s="1"/>
  <c r="N100" i="20"/>
  <c r="R100" i="20" s="1"/>
  <c r="S62" i="20"/>
  <c r="T60" i="20" s="1"/>
  <c r="U60" i="20" s="1"/>
  <c r="V60" i="20" s="1"/>
  <c r="G99" i="20"/>
  <c r="D99" i="20"/>
  <c r="E99" i="20" s="1"/>
  <c r="F99" i="20" s="1"/>
  <c r="G97" i="20"/>
  <c r="D97" i="20"/>
  <c r="E97" i="20" s="1"/>
  <c r="F97" i="20" s="1"/>
  <c r="M92" i="20"/>
  <c r="L92" i="20"/>
  <c r="K92" i="20"/>
  <c r="J92" i="20"/>
  <c r="I92" i="20"/>
  <c r="N79" i="20"/>
  <c r="N78" i="20"/>
  <c r="N42" i="20"/>
  <c r="N67" i="20"/>
  <c r="R67" i="20" s="1"/>
  <c r="N66" i="20"/>
  <c r="R66" i="20" s="1"/>
  <c r="N65" i="20"/>
  <c r="R65" i="20" s="1"/>
  <c r="N64" i="20"/>
  <c r="R64" i="20" s="1"/>
  <c r="N63" i="20"/>
  <c r="R63" i="20" s="1"/>
  <c r="G62" i="20"/>
  <c r="D62" i="20"/>
  <c r="E62" i="20" s="1"/>
  <c r="F62" i="20" s="1"/>
  <c r="G61" i="20"/>
  <c r="D61" i="20"/>
  <c r="E61" i="20" s="1"/>
  <c r="F61" i="20" s="1"/>
  <c r="G60" i="20"/>
  <c r="D60" i="20"/>
  <c r="E60" i="20" s="1"/>
  <c r="F60" i="20" s="1"/>
  <c r="M55" i="20"/>
  <c r="L55" i="20"/>
  <c r="K55" i="20"/>
  <c r="J55" i="20"/>
  <c r="I55" i="20"/>
  <c r="N41" i="20"/>
  <c r="G30" i="20"/>
  <c r="D30" i="20"/>
  <c r="E30" i="20" s="1"/>
  <c r="F30" i="20" s="1"/>
  <c r="G29" i="20"/>
  <c r="G28" i="20"/>
  <c r="G27" i="20"/>
  <c r="D29" i="20"/>
  <c r="E29" i="20" s="1"/>
  <c r="F29" i="20" s="1"/>
  <c r="D28" i="20"/>
  <c r="E28" i="20" s="1"/>
  <c r="F28" i="20" s="1"/>
  <c r="D27" i="20"/>
  <c r="E27" i="20" s="1"/>
  <c r="F27" i="20" s="1"/>
  <c r="G24" i="20"/>
  <c r="D24" i="20"/>
  <c r="E24" i="20" s="1"/>
  <c r="F24" i="20" s="1"/>
  <c r="E70" i="29"/>
  <c r="C70" i="29"/>
  <c r="F94" i="37"/>
  <c r="E107" i="29"/>
  <c r="C107" i="29"/>
  <c r="E106" i="29"/>
  <c r="C106" i="29"/>
  <c r="E105" i="29"/>
  <c r="C105" i="29"/>
  <c r="E104" i="29"/>
  <c r="C104" i="29"/>
  <c r="E103" i="29"/>
  <c r="C103" i="29"/>
  <c r="M197" i="37"/>
  <c r="E94" i="29"/>
  <c r="C94" i="29"/>
  <c r="E93" i="29"/>
  <c r="C93" i="29"/>
  <c r="E108" i="29"/>
  <c r="C108" i="29"/>
  <c r="E102" i="29"/>
  <c r="C102" i="29"/>
  <c r="E101" i="29"/>
  <c r="C101" i="29"/>
  <c r="E99" i="29"/>
  <c r="C99" i="29"/>
  <c r="E98" i="29"/>
  <c r="C98" i="29"/>
  <c r="E96" i="29"/>
  <c r="C96" i="29"/>
  <c r="E95" i="29"/>
  <c r="C95" i="29"/>
  <c r="E92" i="29"/>
  <c r="C92" i="29"/>
  <c r="E91" i="29"/>
  <c r="C91" i="29"/>
  <c r="E89" i="29"/>
  <c r="C89" i="29"/>
  <c r="E88" i="29"/>
  <c r="C88" i="29"/>
  <c r="E60" i="29"/>
  <c r="C60" i="29"/>
  <c r="M177" i="37"/>
  <c r="E47" i="29"/>
  <c r="C47" i="29"/>
  <c r="E44" i="29"/>
  <c r="C44" i="29"/>
  <c r="E24" i="29"/>
  <c r="C24" i="29"/>
  <c r="E41" i="29"/>
  <c r="C41" i="29"/>
  <c r="E40" i="29"/>
  <c r="C40" i="29"/>
  <c r="E39" i="29"/>
  <c r="C39" i="29"/>
  <c r="E26" i="29"/>
  <c r="G23" i="20"/>
  <c r="D23" i="20"/>
  <c r="E23" i="20" s="1"/>
  <c r="F23" i="20" s="1"/>
  <c r="C10" i="29"/>
  <c r="E10" i="29"/>
  <c r="G10" i="29"/>
  <c r="C11" i="29"/>
  <c r="E11" i="29"/>
  <c r="C12" i="29"/>
  <c r="E12" i="29"/>
  <c r="C13" i="29"/>
  <c r="E13" i="29"/>
  <c r="C14" i="29"/>
  <c r="E14" i="29"/>
  <c r="C15" i="29"/>
  <c r="E15" i="29"/>
  <c r="C16" i="29"/>
  <c r="E16" i="29"/>
  <c r="C17" i="29"/>
  <c r="E17" i="29"/>
  <c r="C18" i="29"/>
  <c r="E18" i="29"/>
  <c r="C19" i="29"/>
  <c r="E19" i="29"/>
  <c r="C25" i="29"/>
  <c r="E25" i="29"/>
  <c r="C26" i="29"/>
  <c r="C35" i="29"/>
  <c r="E35" i="29"/>
  <c r="C36" i="29"/>
  <c r="E36" i="29"/>
  <c r="C37" i="29"/>
  <c r="E37" i="29"/>
  <c r="C38" i="29"/>
  <c r="E38" i="29"/>
  <c r="C76" i="29"/>
  <c r="E76" i="29"/>
  <c r="C77" i="29"/>
  <c r="E77" i="29"/>
  <c r="C78" i="29"/>
  <c r="E78" i="29"/>
  <c r="C114" i="29"/>
  <c r="E114" i="29"/>
  <c r="C116" i="29"/>
  <c r="E116" i="29"/>
  <c r="C117" i="29"/>
  <c r="E117" i="29"/>
  <c r="C118" i="29"/>
  <c r="E118" i="29"/>
  <c r="C119" i="29"/>
  <c r="E119" i="29"/>
  <c r="C120" i="29"/>
  <c r="E120" i="29"/>
  <c r="C121" i="29"/>
  <c r="E121" i="29"/>
  <c r="C122" i="29"/>
  <c r="E122" i="29"/>
  <c r="C123" i="29"/>
  <c r="E123" i="29"/>
  <c r="C124" i="29"/>
  <c r="E124" i="29"/>
  <c r="G26" i="20"/>
  <c r="G25" i="20"/>
  <c r="D26" i="20"/>
  <c r="E26" i="20" s="1"/>
  <c r="F26" i="20" s="1"/>
  <c r="D25" i="20"/>
  <c r="E25" i="20" s="1"/>
  <c r="F25" i="20" s="1"/>
  <c r="M320" i="37"/>
  <c r="N4" i="20"/>
  <c r="M175" i="37"/>
  <c r="M176" i="37"/>
  <c r="M172" i="37"/>
  <c r="M155" i="37"/>
  <c r="M144" i="37"/>
  <c r="M143" i="37"/>
  <c r="M142" i="37"/>
  <c r="M78" i="37"/>
  <c r="M68" i="37"/>
  <c r="M67" i="37"/>
  <c r="M66" i="37"/>
  <c r="M65" i="37"/>
  <c r="M64" i="37"/>
  <c r="M32" i="37"/>
  <c r="M119" i="37"/>
  <c r="M118" i="37"/>
  <c r="M120" i="37"/>
  <c r="M151" i="37"/>
  <c r="M150" i="37"/>
  <c r="M141" i="37"/>
  <c r="M140" i="37"/>
  <c r="M139" i="37"/>
  <c r="M138" i="37"/>
  <c r="M137" i="37"/>
  <c r="M136" i="37"/>
  <c r="M135" i="37"/>
  <c r="M134" i="37"/>
  <c r="M55" i="37"/>
  <c r="M91" i="37"/>
  <c r="M129" i="37"/>
  <c r="M90" i="37"/>
  <c r="M18" i="37"/>
  <c r="M47" i="37"/>
  <c r="M19" i="37"/>
  <c r="M22" i="37"/>
  <c r="M21" i="37"/>
  <c r="M20" i="37"/>
  <c r="M84" i="37"/>
  <c r="M38" i="37"/>
  <c r="M37" i="37"/>
  <c r="M36" i="37"/>
  <c r="M35" i="37"/>
  <c r="M34" i="37"/>
  <c r="M33" i="37"/>
  <c r="M110" i="37"/>
  <c r="M109" i="37"/>
  <c r="M58" i="37"/>
  <c r="M93" i="37"/>
  <c r="M167" i="37"/>
  <c r="M166" i="37"/>
  <c r="M165" i="37"/>
  <c r="M157" i="37"/>
  <c r="M114" i="37"/>
  <c r="M63" i="37"/>
  <c r="M62" i="37"/>
  <c r="M163" i="37"/>
  <c r="M61" i="37"/>
  <c r="M152" i="37"/>
  <c r="M89" i="37"/>
  <c r="M81" i="37"/>
  <c r="M80" i="37"/>
  <c r="M79" i="37"/>
  <c r="M46" i="37"/>
  <c r="M149" i="37"/>
  <c r="M148" i="37"/>
  <c r="M147" i="37"/>
  <c r="M146" i="37"/>
  <c r="M85" i="37"/>
  <c r="M17" i="37"/>
  <c r="M16" i="37"/>
  <c r="M15" i="37"/>
  <c r="M14" i="37"/>
  <c r="M13" i="37"/>
  <c r="M12" i="37"/>
  <c r="M11" i="37"/>
  <c r="M10" i="37"/>
  <c r="M9" i="37"/>
  <c r="M133" i="37"/>
  <c r="M132" i="37"/>
  <c r="M131" i="37"/>
  <c r="M115" i="37"/>
  <c r="M113" i="37"/>
  <c r="M57" i="37"/>
  <c r="M45" i="37"/>
  <c r="M44" i="37"/>
  <c r="M43" i="37"/>
  <c r="M42" i="37"/>
  <c r="M41" i="37"/>
  <c r="M40" i="37"/>
  <c r="M39" i="37"/>
  <c r="M116" i="37"/>
  <c r="M160" i="37"/>
  <c r="M159" i="37"/>
  <c r="M158" i="37"/>
  <c r="M112" i="37"/>
  <c r="M111" i="37"/>
  <c r="M56" i="37"/>
  <c r="M126" i="37"/>
  <c r="M125" i="37"/>
  <c r="M124" i="37"/>
  <c r="M121" i="37"/>
  <c r="M123" i="37"/>
  <c r="M122" i="37"/>
  <c r="M59" i="37"/>
  <c r="M128" i="37"/>
  <c r="M127" i="37"/>
  <c r="M153" i="37"/>
  <c r="M161" i="37"/>
  <c r="M169" i="37"/>
  <c r="M168" i="37"/>
  <c r="M83" i="37"/>
  <c r="M82" i="37"/>
  <c r="M102" i="37"/>
  <c r="M101" i="37"/>
  <c r="M100" i="37"/>
  <c r="M99" i="37"/>
  <c r="M97" i="37"/>
  <c r="M96" i="37"/>
  <c r="M95" i="37"/>
  <c r="M87" i="37"/>
  <c r="M86" i="37"/>
  <c r="M94" i="37"/>
  <c r="M108" i="37"/>
  <c r="M107" i="37"/>
  <c r="M106" i="37"/>
  <c r="M105" i="37"/>
  <c r="M104" i="37"/>
  <c r="M103" i="37"/>
  <c r="M154" i="37"/>
  <c r="M88" i="37"/>
  <c r="M54" i="37"/>
  <c r="M53" i="37"/>
  <c r="M52" i="37"/>
  <c r="M77" i="37"/>
  <c r="M76" i="37"/>
  <c r="M75" i="37"/>
  <c r="M74" i="37"/>
  <c r="M73" i="37"/>
  <c r="M164" i="37"/>
  <c r="M117" i="37"/>
  <c r="M72" i="37"/>
  <c r="M71" i="37"/>
  <c r="M70" i="37"/>
  <c r="M69" i="37"/>
  <c r="M60" i="37"/>
  <c r="M49" i="37"/>
  <c r="M48" i="37"/>
  <c r="F156" i="37"/>
  <c r="F142" i="37"/>
  <c r="F51" i="37"/>
  <c r="F50" i="37"/>
  <c r="F31" i="37"/>
  <c r="F30" i="37"/>
  <c r="F29" i="37"/>
  <c r="F28" i="37"/>
  <c r="F27" i="37"/>
  <c r="F26" i="37"/>
  <c r="F25" i="37"/>
  <c r="F24" i="37"/>
  <c r="F23" i="37"/>
  <c r="F163" i="37"/>
  <c r="E163" i="37"/>
  <c r="D163" i="37"/>
  <c r="F89" i="37"/>
  <c r="F80" i="37"/>
  <c r="F79" i="37"/>
  <c r="F46" i="37"/>
  <c r="F57" i="37"/>
  <c r="F45" i="37"/>
  <c r="F44" i="37"/>
  <c r="F43" i="37"/>
  <c r="F41" i="37"/>
  <c r="F39" i="37"/>
  <c r="F116" i="37"/>
  <c r="F158" i="37"/>
  <c r="F56" i="37"/>
  <c r="F123" i="37"/>
  <c r="E123" i="37"/>
  <c r="D123" i="37"/>
  <c r="F49" i="37"/>
  <c r="N5" i="20"/>
  <c r="D3" i="24"/>
  <c r="E3" i="24"/>
  <c r="B7" i="21"/>
  <c r="M18" i="20"/>
  <c r="L18" i="20"/>
  <c r="K18" i="20"/>
  <c r="J18" i="20"/>
  <c r="I18" i="20"/>
  <c r="D232" i="37" l="1"/>
  <c r="K440" i="29" s="1"/>
  <c r="L440" i="29" s="1"/>
  <c r="F190" i="37"/>
  <c r="F189" i="37"/>
  <c r="F188" i="37"/>
  <c r="F329" i="37"/>
  <c r="K33" i="29" s="1"/>
  <c r="L33" i="29" s="1"/>
  <c r="D322" i="37"/>
  <c r="E577" i="29"/>
  <c r="P50" i="37"/>
  <c r="O50" i="37"/>
  <c r="E50" i="37" s="1"/>
  <c r="N50" i="37"/>
  <c r="D50" i="37" s="1"/>
  <c r="P131" i="37"/>
  <c r="F131" i="37" s="1"/>
  <c r="O131" i="37"/>
  <c r="E131" i="37" s="1"/>
  <c r="N131" i="37"/>
  <c r="D131" i="37" s="1"/>
  <c r="N151" i="37"/>
  <c r="D151" i="37" s="1"/>
  <c r="P151" i="37"/>
  <c r="F151" i="37" s="1"/>
  <c r="O151" i="37"/>
  <c r="E151" i="37" s="1"/>
  <c r="P51" i="37"/>
  <c r="O51" i="37"/>
  <c r="E51" i="37" s="1"/>
  <c r="N51" i="37"/>
  <c r="D51" i="37" s="1"/>
  <c r="N10" i="37"/>
  <c r="D10" i="37" s="1"/>
  <c r="O10" i="37"/>
  <c r="E10" i="37" s="1"/>
  <c r="P10" i="37"/>
  <c r="N32" i="37"/>
  <c r="D32" i="37" s="1"/>
  <c r="O32" i="37"/>
  <c r="E32" i="37" s="1"/>
  <c r="P32" i="37"/>
  <c r="P69" i="37"/>
  <c r="O69" i="37"/>
  <c r="N69" i="37"/>
  <c r="P164" i="37"/>
  <c r="F164" i="37" s="1"/>
  <c r="O164" i="37"/>
  <c r="E164" i="37" s="1"/>
  <c r="N164" i="37"/>
  <c r="D164" i="37" s="1"/>
  <c r="P74" i="37"/>
  <c r="O74" i="37"/>
  <c r="E74" i="37" s="1"/>
  <c r="N74" i="37"/>
  <c r="D74" i="37" s="1"/>
  <c r="P161" i="37"/>
  <c r="O161" i="37"/>
  <c r="E161" i="37" s="1"/>
  <c r="N161" i="37"/>
  <c r="D161" i="37" s="1"/>
  <c r="P124" i="37"/>
  <c r="O124" i="37"/>
  <c r="E124" i="37" s="1"/>
  <c r="N124" i="37"/>
  <c r="D124" i="37" s="1"/>
  <c r="P158" i="37"/>
  <c r="O158" i="37"/>
  <c r="E158" i="37" s="1"/>
  <c r="N158" i="37"/>
  <c r="D158" i="37" s="1"/>
  <c r="P116" i="37"/>
  <c r="O116" i="37"/>
  <c r="E116" i="37" s="1"/>
  <c r="N116" i="37"/>
  <c r="D116" i="37" s="1"/>
  <c r="P133" i="37"/>
  <c r="F133" i="37" s="1"/>
  <c r="O133" i="37"/>
  <c r="E133" i="37" s="1"/>
  <c r="N133" i="37"/>
  <c r="D133" i="37" s="1"/>
  <c r="P16" i="37"/>
  <c r="O16" i="37"/>
  <c r="E16" i="37" s="1"/>
  <c r="N16" i="37"/>
  <c r="D16" i="37" s="1"/>
  <c r="P80" i="37"/>
  <c r="O80" i="37"/>
  <c r="E80" i="37" s="1"/>
  <c r="N80" i="37"/>
  <c r="D80" i="37" s="1"/>
  <c r="P157" i="37"/>
  <c r="O157" i="37"/>
  <c r="E157" i="37" s="1"/>
  <c r="N157" i="37"/>
  <c r="D157" i="37" s="1"/>
  <c r="N109" i="37"/>
  <c r="D109" i="37" s="1"/>
  <c r="P109" i="37"/>
  <c r="O109" i="37"/>
  <c r="E109" i="37" s="1"/>
  <c r="P38" i="37"/>
  <c r="O38" i="37"/>
  <c r="E38" i="37" s="1"/>
  <c r="N38" i="37"/>
  <c r="D38" i="37" s="1"/>
  <c r="N19" i="37"/>
  <c r="D19" i="37" s="1"/>
  <c r="O19" i="37"/>
  <c r="E19" i="37" s="1"/>
  <c r="P19" i="37"/>
  <c r="F19" i="37" s="1"/>
  <c r="P91" i="37"/>
  <c r="O91" i="37"/>
  <c r="E91" i="37" s="1"/>
  <c r="N91" i="37"/>
  <c r="D91" i="37" s="1"/>
  <c r="P134" i="37"/>
  <c r="O134" i="37"/>
  <c r="E134" i="37" s="1"/>
  <c r="N134" i="37"/>
  <c r="D134" i="37" s="1"/>
  <c r="P137" i="37"/>
  <c r="O137" i="37"/>
  <c r="E137" i="37" s="1"/>
  <c r="N137" i="37"/>
  <c r="D137" i="37" s="1"/>
  <c r="P46" i="37"/>
  <c r="O46" i="37"/>
  <c r="E46" i="37" s="1"/>
  <c r="N46" i="37"/>
  <c r="D46" i="37" s="1"/>
  <c r="P60" i="37"/>
  <c r="O60" i="37"/>
  <c r="N60" i="37"/>
  <c r="P73" i="37"/>
  <c r="O73" i="37"/>
  <c r="E73" i="37" s="1"/>
  <c r="N73" i="37"/>
  <c r="D73" i="37" s="1"/>
  <c r="P54" i="37"/>
  <c r="O54" i="37"/>
  <c r="E54" i="37" s="1"/>
  <c r="N54" i="37"/>
  <c r="D54" i="37" s="1"/>
  <c r="P132" i="37"/>
  <c r="F132" i="37" s="1"/>
  <c r="O132" i="37"/>
  <c r="E132" i="37" s="1"/>
  <c r="N132" i="37"/>
  <c r="D132" i="37" s="1"/>
  <c r="N149" i="37"/>
  <c r="D149" i="37" s="1"/>
  <c r="P149" i="37"/>
  <c r="O149" i="37"/>
  <c r="E149" i="37" s="1"/>
  <c r="P61" i="37"/>
  <c r="O61" i="37"/>
  <c r="E61" i="37" s="1"/>
  <c r="N61" i="37"/>
  <c r="D61" i="37" s="1"/>
  <c r="P70" i="37"/>
  <c r="O70" i="37"/>
  <c r="N70" i="37"/>
  <c r="P153" i="37"/>
  <c r="F153" i="37" s="1"/>
  <c r="O153" i="37"/>
  <c r="E153" i="37" s="1"/>
  <c r="N153" i="37"/>
  <c r="D153" i="37" s="1"/>
  <c r="P143" i="37"/>
  <c r="O143" i="37"/>
  <c r="N143" i="37"/>
  <c r="N108" i="37"/>
  <c r="D108" i="37" s="1"/>
  <c r="P108" i="37"/>
  <c r="O108" i="37"/>
  <c r="E108" i="37" s="1"/>
  <c r="P56" i="37"/>
  <c r="O56" i="37"/>
  <c r="E56" i="37" s="1"/>
  <c r="N56" i="37"/>
  <c r="D56" i="37" s="1"/>
  <c r="P160" i="37"/>
  <c r="F160" i="37" s="1"/>
  <c r="N160" i="37"/>
  <c r="D160" i="37" s="1"/>
  <c r="O160" i="37"/>
  <c r="E160" i="37" s="1"/>
  <c r="P37" i="37"/>
  <c r="O37" i="37"/>
  <c r="E37" i="37" s="1"/>
  <c r="N37" i="37"/>
  <c r="D37" i="37" s="1"/>
  <c r="P64" i="37"/>
  <c r="O64" i="37"/>
  <c r="E64" i="37" s="1"/>
  <c r="N64" i="37"/>
  <c r="D64" i="37" s="1"/>
  <c r="P48" i="37"/>
  <c r="F48" i="37" s="1"/>
  <c r="O48" i="37"/>
  <c r="E48" i="37" s="1"/>
  <c r="N48" i="37"/>
  <c r="D48" i="37" s="1"/>
  <c r="P86" i="37"/>
  <c r="O86" i="37"/>
  <c r="E86" i="37" s="1"/>
  <c r="N86" i="37"/>
  <c r="D86" i="37" s="1"/>
  <c r="P122" i="37"/>
  <c r="F122" i="37" s="1"/>
  <c r="O122" i="37"/>
  <c r="E122" i="37" s="1"/>
  <c r="N122" i="37"/>
  <c r="D122" i="37" s="1"/>
  <c r="P57" i="37"/>
  <c r="O57" i="37"/>
  <c r="E57" i="37" s="1"/>
  <c r="N57" i="37"/>
  <c r="D57" i="37" s="1"/>
  <c r="P47" i="37"/>
  <c r="F47" i="37" s="1"/>
  <c r="O47" i="37"/>
  <c r="E47" i="37" s="1"/>
  <c r="N47" i="37"/>
  <c r="D47" i="37" s="1"/>
  <c r="P138" i="37"/>
  <c r="O138" i="37"/>
  <c r="E138" i="37" s="1"/>
  <c r="N138" i="37"/>
  <c r="D138" i="37" s="1"/>
  <c r="P71" i="37"/>
  <c r="O71" i="37"/>
  <c r="N71" i="37"/>
  <c r="N105" i="37"/>
  <c r="D105" i="37" s="1"/>
  <c r="P105" i="37"/>
  <c r="O105" i="37"/>
  <c r="E105" i="37" s="1"/>
  <c r="P123" i="37"/>
  <c r="O123" i="37"/>
  <c r="N123" i="37"/>
  <c r="P125" i="37"/>
  <c r="F125" i="37" s="1"/>
  <c r="O125" i="37"/>
  <c r="E125" i="37" s="1"/>
  <c r="N125" i="37"/>
  <c r="D125" i="37" s="1"/>
  <c r="P17" i="37"/>
  <c r="O17" i="37"/>
  <c r="E17" i="37" s="1"/>
  <c r="N17" i="37"/>
  <c r="D17" i="37" s="1"/>
  <c r="P139" i="37"/>
  <c r="O139" i="37"/>
  <c r="E139" i="37" s="1"/>
  <c r="N139" i="37"/>
  <c r="D139" i="37" s="1"/>
  <c r="P65" i="37"/>
  <c r="O65" i="37"/>
  <c r="E65" i="37" s="1"/>
  <c r="N65" i="37"/>
  <c r="D65" i="37" s="1"/>
  <c r="P155" i="37"/>
  <c r="O155" i="37"/>
  <c r="E155" i="37" s="1"/>
  <c r="N155" i="37"/>
  <c r="D155" i="37" s="1"/>
  <c r="P135" i="37"/>
  <c r="O135" i="37"/>
  <c r="E135" i="37" s="1"/>
  <c r="N135" i="37"/>
  <c r="D135" i="37" s="1"/>
  <c r="P118" i="37"/>
  <c r="O118" i="37"/>
  <c r="E118" i="37" s="1"/>
  <c r="N118" i="37"/>
  <c r="D118" i="37" s="1"/>
  <c r="P41" i="37"/>
  <c r="O41" i="37"/>
  <c r="E41" i="37" s="1"/>
  <c r="N41" i="37"/>
  <c r="D41" i="37" s="1"/>
  <c r="P114" i="37"/>
  <c r="F114" i="37" s="1"/>
  <c r="O114" i="37"/>
  <c r="E114" i="37" s="1"/>
  <c r="N114" i="37"/>
  <c r="D114" i="37" s="1"/>
  <c r="P49" i="37"/>
  <c r="O49" i="37"/>
  <c r="E49" i="37" s="1"/>
  <c r="N49" i="37"/>
  <c r="D49" i="37" s="1"/>
  <c r="P75" i="37"/>
  <c r="O75" i="37"/>
  <c r="E75" i="37" s="1"/>
  <c r="N75" i="37"/>
  <c r="D75" i="37" s="1"/>
  <c r="P127" i="37"/>
  <c r="O127" i="37"/>
  <c r="N127" i="37"/>
  <c r="P58" i="37"/>
  <c r="F58" i="37" s="1"/>
  <c r="O58" i="37"/>
  <c r="E58" i="37" s="1"/>
  <c r="N58" i="37"/>
  <c r="D58" i="37" s="1"/>
  <c r="P144" i="37"/>
  <c r="O144" i="37"/>
  <c r="E144" i="37" s="1"/>
  <c r="N144" i="37"/>
  <c r="D144" i="37" s="1"/>
  <c r="P106" i="37"/>
  <c r="O106" i="37"/>
  <c r="E106" i="37" s="1"/>
  <c r="N106" i="37"/>
  <c r="D106" i="37" s="1"/>
  <c r="P96" i="37"/>
  <c r="O96" i="37"/>
  <c r="E96" i="37" s="1"/>
  <c r="N96" i="37"/>
  <c r="D96" i="37" s="1"/>
  <c r="P168" i="37"/>
  <c r="F168" i="37" s="1"/>
  <c r="O168" i="37"/>
  <c r="E168" i="37" s="1"/>
  <c r="N168" i="37"/>
  <c r="D168" i="37" s="1"/>
  <c r="O121" i="37"/>
  <c r="E121" i="37" s="1"/>
  <c r="N121" i="37"/>
  <c r="D121" i="37" s="1"/>
  <c r="P121" i="37"/>
  <c r="P43" i="37"/>
  <c r="O43" i="37"/>
  <c r="E43" i="37" s="1"/>
  <c r="N43" i="37"/>
  <c r="D43" i="37" s="1"/>
  <c r="P14" i="37"/>
  <c r="O14" i="37"/>
  <c r="E14" i="37" s="1"/>
  <c r="N14" i="37"/>
  <c r="D14" i="37" s="1"/>
  <c r="P147" i="37"/>
  <c r="F147" i="37" s="1"/>
  <c r="N147" i="37"/>
  <c r="D147" i="37" s="1"/>
  <c r="O147" i="37"/>
  <c r="E147" i="37" s="1"/>
  <c r="N20" i="37"/>
  <c r="D20" i="37" s="1"/>
  <c r="P20" i="37"/>
  <c r="F20" i="37" s="1"/>
  <c r="O20" i="37"/>
  <c r="E20" i="37" s="1"/>
  <c r="N18" i="37"/>
  <c r="D18" i="37" s="1"/>
  <c r="O18" i="37"/>
  <c r="E18" i="37" s="1"/>
  <c r="P18" i="37"/>
  <c r="P119" i="37"/>
  <c r="O119" i="37"/>
  <c r="E119" i="37" s="1"/>
  <c r="N119" i="37"/>
  <c r="D119" i="37" s="1"/>
  <c r="P67" i="37"/>
  <c r="O67" i="37"/>
  <c r="N67" i="37"/>
  <c r="D67" i="37" s="1"/>
  <c r="K10" i="29" s="1"/>
  <c r="L10" i="29" s="1"/>
  <c r="P21" i="37"/>
  <c r="O21" i="37"/>
  <c r="E21" i="37" s="1"/>
  <c r="N21" i="37"/>
  <c r="D21" i="37" s="1"/>
  <c r="P76" i="37"/>
  <c r="O76" i="37"/>
  <c r="E76" i="37" s="1"/>
  <c r="N76" i="37"/>
  <c r="D76" i="37" s="1"/>
  <c r="P88" i="37"/>
  <c r="F88" i="37" s="1"/>
  <c r="O88" i="37"/>
  <c r="E88" i="37" s="1"/>
  <c r="N88" i="37"/>
  <c r="D88" i="37" s="1"/>
  <c r="P97" i="37"/>
  <c r="O97" i="37"/>
  <c r="E97" i="37" s="1"/>
  <c r="N97" i="37"/>
  <c r="O128" i="37"/>
  <c r="E128" i="37" s="1"/>
  <c r="N128" i="37"/>
  <c r="D128" i="37" s="1"/>
  <c r="P128" i="37"/>
  <c r="P59" i="37"/>
  <c r="F59" i="37" s="1"/>
  <c r="O59" i="37"/>
  <c r="E59" i="37" s="1"/>
  <c r="N59" i="37"/>
  <c r="D59" i="37" s="1"/>
  <c r="O111" i="37"/>
  <c r="E111" i="37" s="1"/>
  <c r="N111" i="37"/>
  <c r="D111" i="37" s="1"/>
  <c r="P111" i="37"/>
  <c r="F111" i="37" s="1"/>
  <c r="P44" i="37"/>
  <c r="O44" i="37"/>
  <c r="E44" i="37" s="1"/>
  <c r="N44" i="37"/>
  <c r="D44" i="37" s="1"/>
  <c r="O148" i="37"/>
  <c r="E148" i="37" s="1"/>
  <c r="N148" i="37"/>
  <c r="D148" i="37" s="1"/>
  <c r="P148" i="37"/>
  <c r="P81" i="37"/>
  <c r="F81" i="37" s="1"/>
  <c r="O81" i="37"/>
  <c r="E81" i="37" s="1"/>
  <c r="N81" i="37"/>
  <c r="D81" i="37" s="1"/>
  <c r="P89" i="37"/>
  <c r="O89" i="37"/>
  <c r="E89" i="37" s="1"/>
  <c r="N89" i="37"/>
  <c r="D89" i="37" s="1"/>
  <c r="P152" i="37"/>
  <c r="F152" i="37" s="1"/>
  <c r="O152" i="37"/>
  <c r="E152" i="37" s="1"/>
  <c r="N152" i="37"/>
  <c r="D152" i="37" s="1"/>
  <c r="P165" i="37"/>
  <c r="F165" i="37" s="1"/>
  <c r="O165" i="37"/>
  <c r="E165" i="37" s="1"/>
  <c r="N165" i="37"/>
  <c r="D165" i="37" s="1"/>
  <c r="P33" i="37"/>
  <c r="O33" i="37"/>
  <c r="E33" i="37" s="1"/>
  <c r="N33" i="37"/>
  <c r="D33" i="37" s="1"/>
  <c r="P150" i="37"/>
  <c r="F150" i="37" s="1"/>
  <c r="O150" i="37"/>
  <c r="E150" i="37" s="1"/>
  <c r="N150" i="37"/>
  <c r="D150" i="37" s="1"/>
  <c r="P142" i="37"/>
  <c r="O142" i="37"/>
  <c r="E142" i="37" s="1"/>
  <c r="N142" i="37"/>
  <c r="D142" i="37" s="1"/>
  <c r="P95" i="37"/>
  <c r="F95" i="37" s="1"/>
  <c r="O95" i="37"/>
  <c r="E95" i="37" s="1"/>
  <c r="N95" i="37"/>
  <c r="D95" i="37" s="1"/>
  <c r="P159" i="37"/>
  <c r="F159" i="37" s="1"/>
  <c r="O159" i="37"/>
  <c r="E159" i="37" s="1"/>
  <c r="N159" i="37"/>
  <c r="D159" i="37" s="1"/>
  <c r="N11" i="37"/>
  <c r="D11" i="37" s="1"/>
  <c r="P11" i="37"/>
  <c r="O11" i="37"/>
  <c r="E11" i="37" s="1"/>
  <c r="P140" i="37"/>
  <c r="O140" i="37"/>
  <c r="E140" i="37" s="1"/>
  <c r="N140" i="37"/>
  <c r="D140" i="37" s="1"/>
  <c r="P66" i="37"/>
  <c r="O66" i="37"/>
  <c r="E66" i="37" s="1"/>
  <c r="N66" i="37"/>
  <c r="D66" i="37" s="1"/>
  <c r="N77" i="37"/>
  <c r="D77" i="37" s="1"/>
  <c r="P77" i="37"/>
  <c r="O77" i="37"/>
  <c r="E77" i="37" s="1"/>
  <c r="P103" i="37"/>
  <c r="F103" i="37" s="1"/>
  <c r="O103" i="37"/>
  <c r="E103" i="37" s="1"/>
  <c r="N103" i="37"/>
  <c r="D103" i="37" s="1"/>
  <c r="P87" i="37"/>
  <c r="O87" i="37"/>
  <c r="E87" i="37" s="1"/>
  <c r="N87" i="37"/>
  <c r="D87" i="37" s="1"/>
  <c r="N99" i="37"/>
  <c r="D99" i="37" s="1"/>
  <c r="P99" i="37"/>
  <c r="F99" i="37" s="1"/>
  <c r="O99" i="37"/>
  <c r="E99" i="37" s="1"/>
  <c r="P39" i="37"/>
  <c r="O39" i="37"/>
  <c r="E39" i="37" s="1"/>
  <c r="N39" i="37"/>
  <c r="D39" i="37" s="1"/>
  <c r="P45" i="37"/>
  <c r="O45" i="37"/>
  <c r="E45" i="37" s="1"/>
  <c r="N45" i="37"/>
  <c r="D45" i="37" s="1"/>
  <c r="P115" i="37"/>
  <c r="F115" i="37" s="1"/>
  <c r="O115" i="37"/>
  <c r="E115" i="37" s="1"/>
  <c r="N115" i="37"/>
  <c r="D115" i="37" s="1"/>
  <c r="P63" i="37"/>
  <c r="F63" i="37" s="1"/>
  <c r="O63" i="37"/>
  <c r="E63" i="37" s="1"/>
  <c r="N63" i="37"/>
  <c r="D63" i="37" s="1"/>
  <c r="N34" i="37"/>
  <c r="D34" i="37" s="1"/>
  <c r="O34" i="37"/>
  <c r="E34" i="37" s="1"/>
  <c r="P34" i="37"/>
  <c r="P90" i="37"/>
  <c r="O90" i="37"/>
  <c r="E90" i="37" s="1"/>
  <c r="N90" i="37"/>
  <c r="D90" i="37" s="1"/>
  <c r="P55" i="37"/>
  <c r="O55" i="37"/>
  <c r="E55" i="37" s="1"/>
  <c r="N55" i="37"/>
  <c r="D55" i="37" s="1"/>
  <c r="P141" i="37"/>
  <c r="O141" i="37"/>
  <c r="E141" i="37" s="1"/>
  <c r="N141" i="37"/>
  <c r="D141" i="37" s="1"/>
  <c r="P72" i="37"/>
  <c r="O72" i="37"/>
  <c r="N72" i="37"/>
  <c r="P126" i="37"/>
  <c r="O126" i="37"/>
  <c r="E126" i="37" s="1"/>
  <c r="N126" i="37"/>
  <c r="D126" i="37" s="1"/>
  <c r="P42" i="37"/>
  <c r="F42" i="37" s="1"/>
  <c r="O42" i="37"/>
  <c r="E42" i="37" s="1"/>
  <c r="N42" i="37"/>
  <c r="D42" i="37" s="1"/>
  <c r="P85" i="37"/>
  <c r="O85" i="37"/>
  <c r="E85" i="37" s="1"/>
  <c r="N85" i="37"/>
  <c r="D85" i="37" s="1"/>
  <c r="P110" i="37"/>
  <c r="O110" i="37"/>
  <c r="E110" i="37" s="1"/>
  <c r="N110" i="37"/>
  <c r="D110" i="37" s="1"/>
  <c r="P100" i="37"/>
  <c r="O100" i="37"/>
  <c r="E100" i="37" s="1"/>
  <c r="N100" i="37"/>
  <c r="D100" i="37" s="1"/>
  <c r="N82" i="37"/>
  <c r="D82" i="37" s="1"/>
  <c r="P82" i="37"/>
  <c r="F82" i="37" s="1"/>
  <c r="O82" i="37"/>
  <c r="E82" i="37" s="1"/>
  <c r="P169" i="37"/>
  <c r="F169" i="37" s="1"/>
  <c r="O169" i="37"/>
  <c r="E169" i="37" s="1"/>
  <c r="N169" i="37"/>
  <c r="D169" i="37" s="1"/>
  <c r="P112" i="37"/>
  <c r="F112" i="37" s="1"/>
  <c r="O112" i="37"/>
  <c r="E112" i="37" s="1"/>
  <c r="N112" i="37"/>
  <c r="D112" i="37" s="1"/>
  <c r="P40" i="37"/>
  <c r="F40" i="37" s="1"/>
  <c r="O40" i="37"/>
  <c r="E40" i="37" s="1"/>
  <c r="N40" i="37"/>
  <c r="D40" i="37" s="1"/>
  <c r="P113" i="37"/>
  <c r="F113" i="37" s="1"/>
  <c r="O113" i="37"/>
  <c r="E113" i="37" s="1"/>
  <c r="N113" i="37"/>
  <c r="D113" i="37" s="1"/>
  <c r="N9" i="37"/>
  <c r="D9" i="37" s="1"/>
  <c r="O9" i="37"/>
  <c r="E9" i="37" s="1"/>
  <c r="P9" i="37"/>
  <c r="N13" i="37"/>
  <c r="D13" i="37" s="1"/>
  <c r="P13" i="37"/>
  <c r="O13" i="37"/>
  <c r="E13" i="37" s="1"/>
  <c r="N146" i="37"/>
  <c r="D146" i="37" s="1"/>
  <c r="P146" i="37"/>
  <c r="O146" i="37"/>
  <c r="E146" i="37" s="1"/>
  <c r="P166" i="37"/>
  <c r="F166" i="37" s="1"/>
  <c r="O166" i="37"/>
  <c r="E166" i="37" s="1"/>
  <c r="N166" i="37"/>
  <c r="D166" i="37" s="1"/>
  <c r="P35" i="37"/>
  <c r="O35" i="37"/>
  <c r="E35" i="37" s="1"/>
  <c r="N35" i="37"/>
  <c r="D35" i="37" s="1"/>
  <c r="P84" i="37"/>
  <c r="F84" i="37" s="1"/>
  <c r="O84" i="37"/>
  <c r="E84" i="37" s="1"/>
  <c r="N84" i="37"/>
  <c r="D84" i="37" s="1"/>
  <c r="P22" i="37"/>
  <c r="O22" i="37"/>
  <c r="E22" i="37" s="1"/>
  <c r="N22" i="37"/>
  <c r="D22" i="37" s="1"/>
  <c r="P136" i="37"/>
  <c r="O136" i="37"/>
  <c r="E136" i="37" s="1"/>
  <c r="N136" i="37"/>
  <c r="D136" i="37" s="1"/>
  <c r="P154" i="37"/>
  <c r="F154" i="37" s="1"/>
  <c r="O154" i="37"/>
  <c r="E154" i="37" s="1"/>
  <c r="N154" i="37"/>
  <c r="D154" i="37" s="1"/>
  <c r="P15" i="37"/>
  <c r="O15" i="37"/>
  <c r="E15" i="37" s="1"/>
  <c r="N15" i="37"/>
  <c r="D15" i="37" s="1"/>
  <c r="P79" i="37"/>
  <c r="O79" i="37"/>
  <c r="E79" i="37" s="1"/>
  <c r="N79" i="37"/>
  <c r="D79" i="37" s="1"/>
  <c r="P163" i="37"/>
  <c r="O163" i="37"/>
  <c r="N163" i="37"/>
  <c r="P52" i="37"/>
  <c r="O52" i="37"/>
  <c r="E52" i="37" s="1"/>
  <c r="N52" i="37"/>
  <c r="D52" i="37" s="1"/>
  <c r="N94" i="37"/>
  <c r="D94" i="37" s="1"/>
  <c r="P94" i="37"/>
  <c r="O94" i="37"/>
  <c r="E94" i="37" s="1"/>
  <c r="P101" i="37"/>
  <c r="F101" i="37" s="1"/>
  <c r="O101" i="37"/>
  <c r="E101" i="37" s="1"/>
  <c r="N101" i="37"/>
  <c r="D101" i="37" s="1"/>
  <c r="P62" i="37"/>
  <c r="F62" i="37" s="1"/>
  <c r="O62" i="37"/>
  <c r="E62" i="37" s="1"/>
  <c r="N62" i="37"/>
  <c r="D62" i="37" s="1"/>
  <c r="P36" i="37"/>
  <c r="O36" i="37"/>
  <c r="E36" i="37" s="1"/>
  <c r="N36" i="37"/>
  <c r="D36" i="37" s="1"/>
  <c r="P68" i="37"/>
  <c r="O68" i="37"/>
  <c r="E68" i="37" s="1"/>
  <c r="N68" i="37"/>
  <c r="D68" i="37" s="1"/>
  <c r="P117" i="37"/>
  <c r="F117" i="37" s="1"/>
  <c r="O117" i="37"/>
  <c r="E117" i="37" s="1"/>
  <c r="N117" i="37"/>
  <c r="D117" i="37" s="1"/>
  <c r="P53" i="37"/>
  <c r="O53" i="37"/>
  <c r="E53" i="37" s="1"/>
  <c r="N53" i="37"/>
  <c r="D53" i="37" s="1"/>
  <c r="P104" i="37"/>
  <c r="F104" i="37" s="1"/>
  <c r="O104" i="37"/>
  <c r="E104" i="37" s="1"/>
  <c r="N104" i="37"/>
  <c r="D104" i="37" s="1"/>
  <c r="P107" i="37"/>
  <c r="O107" i="37"/>
  <c r="E107" i="37" s="1"/>
  <c r="N107" i="37"/>
  <c r="D107" i="37" s="1"/>
  <c r="P102" i="37"/>
  <c r="O102" i="37"/>
  <c r="E102" i="37" s="1"/>
  <c r="N102" i="37"/>
  <c r="D102" i="37" s="1"/>
  <c r="P83" i="37"/>
  <c r="F83" i="37" s="1"/>
  <c r="O83" i="37"/>
  <c r="E83" i="37" s="1"/>
  <c r="N83" i="37"/>
  <c r="D83" i="37" s="1"/>
  <c r="P12" i="37"/>
  <c r="O12" i="37"/>
  <c r="E12" i="37" s="1"/>
  <c r="N12" i="37"/>
  <c r="D12" i="37" s="1"/>
  <c r="P167" i="37"/>
  <c r="F167" i="37" s="1"/>
  <c r="O167" i="37"/>
  <c r="E167" i="37" s="1"/>
  <c r="N167" i="37"/>
  <c r="D167" i="37" s="1"/>
  <c r="P93" i="37"/>
  <c r="F93" i="37" s="1"/>
  <c r="O93" i="37"/>
  <c r="E93" i="37" s="1"/>
  <c r="N93" i="37"/>
  <c r="D93" i="37" s="1"/>
  <c r="P129" i="37"/>
  <c r="N129" i="37"/>
  <c r="D129" i="37" s="1"/>
  <c r="O129" i="37"/>
  <c r="E129" i="37" s="1"/>
  <c r="P120" i="37"/>
  <c r="O120" i="37"/>
  <c r="E120" i="37" s="1"/>
  <c r="N120" i="37"/>
  <c r="D120" i="37" s="1"/>
  <c r="P78" i="37"/>
  <c r="O78" i="37"/>
  <c r="E78" i="37" s="1"/>
  <c r="N78" i="37"/>
  <c r="D78" i="37" s="1"/>
  <c r="D223" i="37"/>
  <c r="K462" i="29" s="1"/>
  <c r="L462" i="29" s="1"/>
  <c r="K675" i="29"/>
  <c r="L675" i="29" s="1"/>
  <c r="Q197" i="20"/>
  <c r="N233" i="20"/>
  <c r="K281" i="37" s="1"/>
  <c r="E281" i="37" s="1"/>
  <c r="N244" i="20"/>
  <c r="N237" i="20"/>
  <c r="I515" i="20"/>
  <c r="N515" i="20" s="1"/>
  <c r="R515" i="20" s="1"/>
  <c r="L386" i="37" s="1"/>
  <c r="F386" i="37" s="1"/>
  <c r="V305" i="20"/>
  <c r="W305" i="20" s="1"/>
  <c r="N272" i="20"/>
  <c r="Q272" i="20" s="1"/>
  <c r="K343" i="37" s="1"/>
  <c r="E343" i="37" s="1"/>
  <c r="K170" i="29" s="1"/>
  <c r="L170" i="29" s="1"/>
  <c r="N62" i="20"/>
  <c r="R62" i="20" s="1"/>
  <c r="L332" i="37" s="1"/>
  <c r="F332" i="37" s="1"/>
  <c r="K73" i="29" s="1"/>
  <c r="L73" i="29" s="1"/>
  <c r="N454" i="20"/>
  <c r="P450" i="20" s="1"/>
  <c r="Q229" i="20"/>
  <c r="N61" i="20"/>
  <c r="R61" i="20" s="1"/>
  <c r="L331" i="37" s="1"/>
  <c r="F331" i="37" s="1"/>
  <c r="K72" i="29" s="1"/>
  <c r="L72" i="29" s="1"/>
  <c r="N450" i="20"/>
  <c r="N230" i="20"/>
  <c r="N420" i="20"/>
  <c r="Q420" i="20" s="1"/>
  <c r="K376" i="37" s="1"/>
  <c r="E376" i="37" s="1"/>
  <c r="K152" i="29" s="1"/>
  <c r="L152" i="29" s="1"/>
  <c r="N516" i="20"/>
  <c r="R516" i="20" s="1"/>
  <c r="L387" i="37" s="1"/>
  <c r="F387" i="37" s="1"/>
  <c r="N131" i="20"/>
  <c r="R131" i="20" s="1"/>
  <c r="L337" i="37" s="1"/>
  <c r="F337" i="37" s="1"/>
  <c r="K68" i="29" s="1"/>
  <c r="L68" i="29" s="1"/>
  <c r="D238" i="37"/>
  <c r="K419" i="29" s="1"/>
  <c r="L419" i="29" s="1"/>
  <c r="K603" i="29"/>
  <c r="L603" i="29" s="1"/>
  <c r="K677" i="29"/>
  <c r="L677" i="29" s="1"/>
  <c r="K679" i="29"/>
  <c r="L679" i="29" s="1"/>
  <c r="K678" i="29"/>
  <c r="L678" i="29" s="1"/>
  <c r="K532" i="29"/>
  <c r="L532" i="29" s="1"/>
  <c r="K534" i="29"/>
  <c r="L534" i="29" s="1"/>
  <c r="D233" i="37"/>
  <c r="K468" i="29" s="1"/>
  <c r="L468" i="29" s="1"/>
  <c r="K533" i="29"/>
  <c r="L533" i="29" s="1"/>
  <c r="M237" i="37"/>
  <c r="D227" i="37"/>
  <c r="K446" i="29" s="1"/>
  <c r="L446" i="29" s="1"/>
  <c r="K388" i="29"/>
  <c r="L388" i="29" s="1"/>
  <c r="K384" i="29"/>
  <c r="L384" i="29" s="1"/>
  <c r="K385" i="29"/>
  <c r="L385" i="29" s="1"/>
  <c r="K455" i="29"/>
  <c r="L455" i="29" s="1"/>
  <c r="E173" i="37"/>
  <c r="K25" i="29" s="1"/>
  <c r="L25" i="29" s="1"/>
  <c r="K667" i="37"/>
  <c r="E667" i="37" s="1"/>
  <c r="K674" i="29" s="1"/>
  <c r="L674" i="29" s="1"/>
  <c r="K669" i="37"/>
  <c r="E669" i="37" s="1"/>
  <c r="K676" i="29" s="1"/>
  <c r="L676" i="29" s="1"/>
  <c r="E752" i="29"/>
  <c r="M228" i="37"/>
  <c r="E755" i="29"/>
  <c r="G743" i="29"/>
  <c r="E748" i="29"/>
  <c r="E579" i="29"/>
  <c r="M234" i="37"/>
  <c r="E742" i="29"/>
  <c r="M203" i="37"/>
  <c r="E744" i="29"/>
  <c r="E746" i="29"/>
  <c r="E749" i="29"/>
  <c r="E200" i="37"/>
  <c r="K246" i="29" s="1"/>
  <c r="L246" i="29" s="1"/>
  <c r="D229" i="37"/>
  <c r="K449" i="29" s="1"/>
  <c r="L449" i="29" s="1"/>
  <c r="G750" i="29"/>
  <c r="M209" i="37"/>
  <c r="E747" i="29"/>
  <c r="E193" i="37"/>
  <c r="K739" i="29" s="1"/>
  <c r="L739" i="29" s="1"/>
  <c r="E198" i="37"/>
  <c r="K201" i="29" s="1"/>
  <c r="L201" i="29" s="1"/>
  <c r="D179" i="37"/>
  <c r="K120" i="29" s="1"/>
  <c r="L120" i="29" s="1"/>
  <c r="M224" i="37"/>
  <c r="D217" i="37"/>
  <c r="D236" i="37"/>
  <c r="K467" i="29" s="1"/>
  <c r="L467" i="29" s="1"/>
  <c r="D182" i="37"/>
  <c r="D231" i="37"/>
  <c r="K451" i="29" s="1"/>
  <c r="L451" i="29" s="1"/>
  <c r="G753" i="29"/>
  <c r="D219" i="37"/>
  <c r="K481" i="29" s="1"/>
  <c r="L481" i="29" s="1"/>
  <c r="G747" i="29"/>
  <c r="E743" i="29"/>
  <c r="D194" i="37"/>
  <c r="M222" i="37"/>
  <c r="E220" i="37"/>
  <c r="F191" i="37"/>
  <c r="K115" i="29" s="1"/>
  <c r="L115" i="29" s="1"/>
  <c r="G752" i="29"/>
  <c r="K530" i="29"/>
  <c r="L530" i="29" s="1"/>
  <c r="G746" i="29"/>
  <c r="G579" i="29"/>
  <c r="M207" i="37"/>
  <c r="E204" i="37"/>
  <c r="K842" i="29" s="1"/>
  <c r="L842" i="29" s="1"/>
  <c r="M173" i="37"/>
  <c r="M214" i="37"/>
  <c r="D184" i="37"/>
  <c r="M230" i="37"/>
  <c r="D174" i="37"/>
  <c r="E218" i="37"/>
  <c r="K480" i="29" s="1"/>
  <c r="L480" i="29" s="1"/>
  <c r="D235" i="37"/>
  <c r="G742" i="29"/>
  <c r="K404" i="29"/>
  <c r="L404" i="29" s="1"/>
  <c r="L403" i="29" s="1"/>
  <c r="E42" i="20"/>
  <c r="E79" i="20"/>
  <c r="J378" i="37"/>
  <c r="D378" i="37" s="1"/>
  <c r="P451" i="20"/>
  <c r="J379" i="37" s="1"/>
  <c r="D379" i="37" s="1"/>
  <c r="J386" i="37"/>
  <c r="D386" i="37" s="1"/>
  <c r="P516" i="20"/>
  <c r="J387" i="37" s="1"/>
  <c r="D387" i="37" s="1"/>
  <c r="J382" i="37"/>
  <c r="D382" i="37" s="1"/>
  <c r="Q482" i="20"/>
  <c r="K382" i="37" s="1"/>
  <c r="E382" i="37" s="1"/>
  <c r="K278" i="37"/>
  <c r="E278" i="37" s="1"/>
  <c r="Q230" i="20"/>
  <c r="Q451" i="20"/>
  <c r="K379" i="37" s="1"/>
  <c r="E379" i="37" s="1"/>
  <c r="W60" i="20"/>
  <c r="T61" i="20"/>
  <c r="U61" i="20" s="1"/>
  <c r="V61" i="20" s="1"/>
  <c r="W61" i="20" s="1"/>
  <c r="E78" i="20"/>
  <c r="N485" i="20"/>
  <c r="P481" i="20" s="1"/>
  <c r="J381" i="37" s="1"/>
  <c r="D381" i="37" s="1"/>
  <c r="E4" i="20"/>
  <c r="E4" i="38" s="1"/>
  <c r="E111" i="20"/>
  <c r="K279" i="37"/>
  <c r="E279" i="37" s="1"/>
  <c r="K297" i="37"/>
  <c r="E297" i="37" s="1"/>
  <c r="K304" i="37"/>
  <c r="E304" i="37" s="1"/>
  <c r="K305" i="37"/>
  <c r="E305" i="37" s="1"/>
  <c r="L305" i="37"/>
  <c r="F305" i="37" s="1"/>
  <c r="L304" i="37"/>
  <c r="F304" i="37" s="1"/>
  <c r="K287" i="37"/>
  <c r="E287" i="37" s="1"/>
  <c r="L279" i="37"/>
  <c r="F279" i="37" s="1"/>
  <c r="L302" i="37"/>
  <c r="F302" i="37" s="1"/>
  <c r="K302" i="37"/>
  <c r="E302" i="37" s="1"/>
  <c r="L303" i="37"/>
  <c r="F303" i="37" s="1"/>
  <c r="K303" i="37"/>
  <c r="E303" i="37" s="1"/>
  <c r="K283" i="37"/>
  <c r="E283" i="37" s="1"/>
  <c r="K280" i="37"/>
  <c r="E280" i="37" s="1"/>
  <c r="L284" i="37"/>
  <c r="F284" i="37" s="1"/>
  <c r="L278" i="37"/>
  <c r="F278" i="37" s="1"/>
  <c r="L273" i="37"/>
  <c r="F273" i="37" s="1"/>
  <c r="L306" i="37"/>
  <c r="F306" i="37" s="1"/>
  <c r="L296" i="37"/>
  <c r="F296" i="37" s="1"/>
  <c r="L272" i="37"/>
  <c r="F272" i="37" s="1"/>
  <c r="L268" i="37"/>
  <c r="F268" i="37" s="1"/>
  <c r="L295" i="37"/>
  <c r="F295" i="37" s="1"/>
  <c r="L290" i="37"/>
  <c r="F290" i="37" s="1"/>
  <c r="L277" i="37"/>
  <c r="F277" i="37" s="1"/>
  <c r="J272" i="37"/>
  <c r="J295" i="37"/>
  <c r="L289" i="37"/>
  <c r="F289" i="37" s="1"/>
  <c r="L276" i="37"/>
  <c r="F276" i="37" s="1"/>
  <c r="L294" i="37"/>
  <c r="F294" i="37" s="1"/>
  <c r="L283" i="37"/>
  <c r="F283" i="37" s="1"/>
  <c r="L274" i="37"/>
  <c r="F274" i="37" s="1"/>
  <c r="L293" i="37"/>
  <c r="F293" i="37" s="1"/>
  <c r="L270" i="37"/>
  <c r="F270" i="37" s="1"/>
  <c r="L271" i="37"/>
  <c r="F271" i="37" s="1"/>
  <c r="K282" i="37"/>
  <c r="E282" i="37" s="1"/>
  <c r="K272" i="37"/>
  <c r="E272" i="37" s="1"/>
  <c r="L288" i="37"/>
  <c r="F288" i="37" s="1"/>
  <c r="L282" i="37"/>
  <c r="F282" i="37" s="1"/>
  <c r="L275" i="37"/>
  <c r="F275" i="37" s="1"/>
  <c r="L292" i="37"/>
  <c r="F292" i="37" s="1"/>
  <c r="L300" i="37"/>
  <c r="F300" i="37" s="1"/>
  <c r="L269" i="37"/>
  <c r="F269" i="37" s="1"/>
  <c r="J271" i="37"/>
  <c r="L297" i="37"/>
  <c r="F297" i="37" s="1"/>
  <c r="L301" i="37"/>
  <c r="F301" i="37" s="1"/>
  <c r="L287" i="37"/>
  <c r="F287" i="37" s="1"/>
  <c r="L281" i="37"/>
  <c r="F281" i="37" s="1"/>
  <c r="L291" i="37"/>
  <c r="F291" i="37" s="1"/>
  <c r="L299" i="37"/>
  <c r="F299" i="37" s="1"/>
  <c r="K296" i="37"/>
  <c r="E296" i="37" s="1"/>
  <c r="K284" i="37"/>
  <c r="E284" i="37" s="1"/>
  <c r="L286" i="37"/>
  <c r="F286" i="37" s="1"/>
  <c r="L280" i="37"/>
  <c r="F280" i="37" s="1"/>
  <c r="L298" i="37"/>
  <c r="F298" i="37" s="1"/>
  <c r="K301" i="37"/>
  <c r="E301" i="37" s="1"/>
  <c r="L285" i="37"/>
  <c r="F285" i="37" s="1"/>
  <c r="K268" i="37"/>
  <c r="E268" i="37" s="1"/>
  <c r="K300" i="37"/>
  <c r="E300" i="37" s="1"/>
  <c r="K306" i="37"/>
  <c r="E306" i="37" s="1"/>
  <c r="K294" i="37"/>
  <c r="E294" i="37" s="1"/>
  <c r="K277" i="37"/>
  <c r="E277" i="37" s="1"/>
  <c r="J294" i="37"/>
  <c r="K299" i="37"/>
  <c r="E299" i="37" s="1"/>
  <c r="K298" i="37"/>
  <c r="E298" i="37" s="1"/>
  <c r="K489" i="29"/>
  <c r="L489" i="29" s="1"/>
  <c r="E112" i="20"/>
  <c r="K657" i="37"/>
  <c r="E657" i="37" s="1"/>
  <c r="K659" i="37"/>
  <c r="E659" i="37" s="1"/>
  <c r="K661" i="37"/>
  <c r="E661" i="37" s="1"/>
  <c r="K663" i="37"/>
  <c r="E663" i="37" s="1"/>
  <c r="K665" i="37"/>
  <c r="E665" i="37" s="1"/>
  <c r="D656" i="37"/>
  <c r="E656" i="37"/>
  <c r="D654" i="37"/>
  <c r="E654" i="37"/>
  <c r="K658" i="37"/>
  <c r="E658" i="37" s="1"/>
  <c r="K660" i="37"/>
  <c r="E660" i="37" s="1"/>
  <c r="K662" i="37"/>
  <c r="E662" i="37" s="1"/>
  <c r="K664" i="37"/>
  <c r="E664" i="37" s="1"/>
  <c r="J658" i="37"/>
  <c r="D658" i="37" s="1"/>
  <c r="J660" i="37"/>
  <c r="D660" i="37" s="1"/>
  <c r="J662" i="37"/>
  <c r="D662" i="37" s="1"/>
  <c r="J664" i="37"/>
  <c r="D664" i="37" s="1"/>
  <c r="D655" i="37"/>
  <c r="E655" i="37"/>
  <c r="E181" i="37"/>
  <c r="M181" i="37"/>
  <c r="M182" i="37"/>
  <c r="E182" i="37"/>
  <c r="M204" i="37"/>
  <c r="D195" i="37"/>
  <c r="M190" i="37"/>
  <c r="M198" i="37"/>
  <c r="M205" i="37"/>
  <c r="D211" i="37"/>
  <c r="K562" i="29" s="1"/>
  <c r="L562" i="29" s="1"/>
  <c r="E750" i="29"/>
  <c r="E195" i="37"/>
  <c r="M213" i="37"/>
  <c r="M232" i="37"/>
  <c r="M179" i="37"/>
  <c r="G749" i="29"/>
  <c r="M187" i="37"/>
  <c r="E751" i="29"/>
  <c r="M200" i="37"/>
  <c r="M210" i="37"/>
  <c r="D181" i="37"/>
  <c r="M215" i="37"/>
  <c r="D226" i="37"/>
  <c r="K457" i="29" s="1"/>
  <c r="L457" i="29" s="1"/>
  <c r="E745" i="29"/>
  <c r="E578" i="29"/>
  <c r="D208" i="37"/>
  <c r="K725" i="29" s="1"/>
  <c r="L725" i="29" s="1"/>
  <c r="L724" i="29" s="1"/>
  <c r="D192" i="37"/>
  <c r="M206" i="37"/>
  <c r="M186" i="37"/>
  <c r="K270" i="37" s="1"/>
  <c r="E270" i="37" s="1"/>
  <c r="M219" i="37"/>
  <c r="E753" i="29"/>
  <c r="M218" i="37"/>
  <c r="E184" i="37"/>
  <c r="M184" i="37"/>
  <c r="M183" i="37"/>
  <c r="E183" i="37"/>
  <c r="E174" i="37"/>
  <c r="M174" i="37"/>
  <c r="E235" i="37"/>
  <c r="M235" i="37"/>
  <c r="E180" i="37"/>
  <c r="M180" i="37"/>
  <c r="M217" i="37"/>
  <c r="E217" i="37"/>
  <c r="M196" i="37"/>
  <c r="G745" i="29"/>
  <c r="M188" i="37"/>
  <c r="M193" i="37"/>
  <c r="D202" i="37"/>
  <c r="E194" i="37"/>
  <c r="E192" i="37"/>
  <c r="E178" i="37"/>
  <c r="D183" i="37"/>
  <c r="E221" i="37"/>
  <c r="K499" i="29" s="1"/>
  <c r="L499" i="29" s="1"/>
  <c r="M189" i="37"/>
  <c r="G748" i="29"/>
  <c r="E202" i="37"/>
  <c r="K136" i="29"/>
  <c r="L136" i="29" s="1"/>
  <c r="M220" i="37"/>
  <c r="E216" i="37"/>
  <c r="G754" i="29"/>
  <c r="D180" i="37"/>
  <c r="K531" i="29"/>
  <c r="L531" i="29" s="1"/>
  <c r="K529" i="29"/>
  <c r="L529" i="29" s="1"/>
  <c r="G755" i="29"/>
  <c r="K420" i="29"/>
  <c r="L420" i="29" s="1"/>
  <c r="K26" i="29"/>
  <c r="L26" i="29" s="1"/>
  <c r="K395" i="29"/>
  <c r="L395" i="29" s="1"/>
  <c r="K376" i="29"/>
  <c r="L376" i="29" s="1"/>
  <c r="K284" i="29"/>
  <c r="L284" i="29" s="1"/>
  <c r="K334" i="29"/>
  <c r="L334" i="29" s="1"/>
  <c r="K198" i="29"/>
  <c r="L198" i="29" s="1"/>
  <c r="K41" i="29"/>
  <c r="L41" i="29" s="1"/>
  <c r="K633" i="29"/>
  <c r="L633" i="29" s="1"/>
  <c r="K343" i="29"/>
  <c r="L343" i="29" s="1"/>
  <c r="K309" i="29"/>
  <c r="L309" i="29" s="1"/>
  <c r="K360" i="29"/>
  <c r="L360" i="29" s="1"/>
  <c r="K316" i="29"/>
  <c r="L316" i="29" s="1"/>
  <c r="K55" i="29"/>
  <c r="L55" i="29" s="1"/>
  <c r="K90" i="29"/>
  <c r="L90" i="29" s="1"/>
  <c r="K81" i="29"/>
  <c r="L81" i="29" s="1"/>
  <c r="K664" i="29"/>
  <c r="L664" i="29" s="1"/>
  <c r="K332" i="29"/>
  <c r="L332" i="29" s="1"/>
  <c r="K391" i="29"/>
  <c r="L391" i="29" s="1"/>
  <c r="K38" i="29"/>
  <c r="L38" i="29" s="1"/>
  <c r="K622" i="29"/>
  <c r="L622" i="29" s="1"/>
  <c r="K448" i="29"/>
  <c r="L448" i="29" s="1"/>
  <c r="K394" i="29"/>
  <c r="L394" i="29" s="1"/>
  <c r="K381" i="29"/>
  <c r="L381" i="29" s="1"/>
  <c r="K285" i="29"/>
  <c r="L285" i="29" s="1"/>
  <c r="K650" i="29"/>
  <c r="L650" i="29" s="1"/>
  <c r="K461" i="29"/>
  <c r="L461" i="29" s="1"/>
  <c r="K224" i="29"/>
  <c r="L224" i="29" s="1"/>
  <c r="K207" i="29"/>
  <c r="L207" i="29" s="1"/>
  <c r="K463" i="29"/>
  <c r="L463" i="29" s="1"/>
  <c r="K58" i="29"/>
  <c r="L58" i="29" s="1"/>
  <c r="K515" i="29"/>
  <c r="L515" i="29" s="1"/>
  <c r="K694" i="29"/>
  <c r="L694" i="29" s="1"/>
  <c r="K625" i="29"/>
  <c r="L625" i="29" s="1"/>
  <c r="K620" i="29"/>
  <c r="L620" i="29" s="1"/>
  <c r="K560" i="29"/>
  <c r="L560" i="29" s="1"/>
  <c r="K299" i="29"/>
  <c r="L299" i="29" s="1"/>
  <c r="K365" i="29"/>
  <c r="L365" i="29" s="1"/>
  <c r="K617" i="29"/>
  <c r="L617" i="29" s="1"/>
  <c r="K635" i="29"/>
  <c r="L635" i="29" s="1"/>
  <c r="K647" i="29"/>
  <c r="L647" i="29" s="1"/>
  <c r="K600" i="29"/>
  <c r="L600" i="29" s="1"/>
  <c r="K396" i="29"/>
  <c r="L396" i="29" s="1"/>
  <c r="K226" i="29"/>
  <c r="L226" i="29" s="1"/>
  <c r="K147" i="29"/>
  <c r="L147" i="29" s="1"/>
  <c r="K59" i="29"/>
  <c r="L59" i="29" s="1"/>
  <c r="K54" i="29"/>
  <c r="L54" i="29" s="1"/>
  <c r="K45" i="29"/>
  <c r="L45" i="29" s="1"/>
  <c r="K450" i="29"/>
  <c r="L450" i="29" s="1"/>
  <c r="K338" i="29"/>
  <c r="L338" i="29" s="1"/>
  <c r="K51" i="29"/>
  <c r="L51" i="29" s="1"/>
  <c r="K32" i="29"/>
  <c r="L32" i="29" s="1"/>
  <c r="K24" i="29"/>
  <c r="L24" i="29" s="1"/>
  <c r="K649" i="29"/>
  <c r="L649" i="29" s="1"/>
  <c r="K591" i="29"/>
  <c r="L591" i="29" s="1"/>
  <c r="K472" i="29"/>
  <c r="L472" i="29" s="1"/>
  <c r="K348" i="29"/>
  <c r="L348" i="29" s="1"/>
  <c r="K247" i="29"/>
  <c r="L247" i="29" s="1"/>
  <c r="K203" i="29"/>
  <c r="L203" i="29" s="1"/>
  <c r="K53" i="29"/>
  <c r="L53" i="29" s="1"/>
  <c r="K34" i="29"/>
  <c r="L34" i="29" s="1"/>
  <c r="K28" i="29"/>
  <c r="L28" i="29" s="1"/>
  <c r="K364" i="29"/>
  <c r="L364" i="29" s="1"/>
  <c r="K304" i="29"/>
  <c r="L304" i="29" s="1"/>
  <c r="K707" i="29"/>
  <c r="L707" i="29" s="1"/>
  <c r="L706" i="29" s="1"/>
  <c r="K688" i="29"/>
  <c r="L688" i="29" s="1"/>
  <c r="K653" i="29"/>
  <c r="L653" i="29" s="1"/>
  <c r="K646" i="29"/>
  <c r="L646" i="29" s="1"/>
  <c r="K399" i="29"/>
  <c r="L399" i="29" s="1"/>
  <c r="L398" i="29" s="1"/>
  <c r="K368" i="29"/>
  <c r="L368" i="29" s="1"/>
  <c r="K341" i="29"/>
  <c r="L341" i="29" s="1"/>
  <c r="K323" i="29"/>
  <c r="L323" i="29" s="1"/>
  <c r="K522" i="29"/>
  <c r="L522" i="29" s="1"/>
  <c r="K670" i="29"/>
  <c r="L670" i="29" s="1"/>
  <c r="K648" i="29"/>
  <c r="L648" i="29" s="1"/>
  <c r="K254" i="29"/>
  <c r="L254" i="29" s="1"/>
  <c r="K35" i="29"/>
  <c r="L35" i="29" s="1"/>
  <c r="K641" i="29"/>
  <c r="L641" i="29" s="1"/>
  <c r="K594" i="29"/>
  <c r="L594" i="29" s="1"/>
  <c r="K57" i="29"/>
  <c r="L57" i="29" s="1"/>
  <c r="K524" i="29"/>
  <c r="L524" i="29" s="1"/>
  <c r="K266" i="29"/>
  <c r="L266" i="29" s="1"/>
  <c r="K202" i="29"/>
  <c r="L202" i="29" s="1"/>
  <c r="K669" i="29"/>
  <c r="L669" i="29" s="1"/>
  <c r="K814" i="29"/>
  <c r="L814" i="29" s="1"/>
  <c r="K639" i="29"/>
  <c r="L639" i="29" s="1"/>
  <c r="K634" i="29"/>
  <c r="L634" i="29" s="1"/>
  <c r="K582" i="29"/>
  <c r="L582" i="29" s="1"/>
  <c r="K296" i="29"/>
  <c r="L296" i="29" s="1"/>
  <c r="K692" i="29"/>
  <c r="L692" i="29" s="1"/>
  <c r="K690" i="29"/>
  <c r="L690" i="29" s="1"/>
  <c r="K683" i="29"/>
  <c r="L683" i="29" s="1"/>
  <c r="K561" i="29"/>
  <c r="L561" i="29" s="1"/>
  <c r="K654" i="29"/>
  <c r="L654" i="29" s="1"/>
  <c r="K642" i="29"/>
  <c r="L642" i="29" s="1"/>
  <c r="K608" i="29"/>
  <c r="L608" i="29" s="1"/>
  <c r="K590" i="29"/>
  <c r="L590" i="29" s="1"/>
  <c r="K354" i="29"/>
  <c r="L354" i="29" s="1"/>
  <c r="K269" i="29"/>
  <c r="L269" i="29" s="1"/>
  <c r="K760" i="29"/>
  <c r="L760" i="29" s="1"/>
  <c r="K672" i="29"/>
  <c r="L672" i="29" s="1"/>
  <c r="K638" i="29"/>
  <c r="L638" i="29" s="1"/>
  <c r="K631" i="29"/>
  <c r="L631" i="29" s="1"/>
  <c r="K623" i="29"/>
  <c r="L623" i="29" s="1"/>
  <c r="K612" i="29"/>
  <c r="L612" i="29" s="1"/>
  <c r="K592" i="29"/>
  <c r="L592" i="29" s="1"/>
  <c r="K315" i="29"/>
  <c r="L315" i="29" s="1"/>
  <c r="K238" i="29"/>
  <c r="L238" i="29" s="1"/>
  <c r="K208" i="29"/>
  <c r="L208" i="29" s="1"/>
  <c r="K687" i="29"/>
  <c r="L687" i="29" s="1"/>
  <c r="K668" i="29"/>
  <c r="L668" i="29" s="1"/>
  <c r="K666" i="29"/>
  <c r="L666" i="29" s="1"/>
  <c r="K658" i="29"/>
  <c r="L658" i="29" s="1"/>
  <c r="K568" i="29"/>
  <c r="L568" i="29" s="1"/>
  <c r="K464" i="29"/>
  <c r="L464" i="29" s="1"/>
  <c r="K525" i="29"/>
  <c r="L525" i="29" s="1"/>
  <c r="K671" i="29"/>
  <c r="L671" i="29" s="1"/>
  <c r="K663" i="29"/>
  <c r="L663" i="29" s="1"/>
  <c r="K660" i="29"/>
  <c r="L660" i="29" s="1"/>
  <c r="K655" i="29"/>
  <c r="L655" i="29" s="1"/>
  <c r="K643" i="29"/>
  <c r="L643" i="29" s="1"/>
  <c r="K627" i="29"/>
  <c r="L627" i="29" s="1"/>
  <c r="K621" i="29"/>
  <c r="L621" i="29" s="1"/>
  <c r="K353" i="29"/>
  <c r="L353" i="29" s="1"/>
  <c r="K349" i="29"/>
  <c r="L349" i="29" s="1"/>
  <c r="K346" i="29"/>
  <c r="L346" i="29" s="1"/>
  <c r="K339" i="29"/>
  <c r="L339" i="29" s="1"/>
  <c r="K330" i="29"/>
  <c r="L330" i="29" s="1"/>
  <c r="K317" i="29"/>
  <c r="L317" i="29" s="1"/>
  <c r="K301" i="29"/>
  <c r="L301" i="29" s="1"/>
  <c r="K297" i="29"/>
  <c r="L297" i="29" s="1"/>
  <c r="K268" i="29"/>
  <c r="L268" i="29" s="1"/>
  <c r="K241" i="29"/>
  <c r="L241" i="29" s="1"/>
  <c r="K145" i="29"/>
  <c r="L145" i="29" s="1"/>
  <c r="K137" i="29"/>
  <c r="L137" i="29" s="1"/>
  <c r="K640" i="29"/>
  <c r="L640" i="29" s="1"/>
  <c r="K632" i="29"/>
  <c r="L632" i="29" s="1"/>
  <c r="K372" i="29"/>
  <c r="L372" i="29" s="1"/>
  <c r="K361" i="29"/>
  <c r="L361" i="29" s="1"/>
  <c r="K347" i="29"/>
  <c r="L347" i="29" s="1"/>
  <c r="K308" i="29"/>
  <c r="L308" i="29" s="1"/>
  <c r="K282" i="29"/>
  <c r="L282" i="29" s="1"/>
  <c r="K280" i="29"/>
  <c r="L280" i="29" s="1"/>
  <c r="K263" i="29"/>
  <c r="L263" i="29" s="1"/>
  <c r="K613" i="29"/>
  <c r="L613" i="29" s="1"/>
  <c r="K377" i="29"/>
  <c r="L377" i="29" s="1"/>
  <c r="K325" i="29"/>
  <c r="L325" i="29" s="1"/>
  <c r="K318" i="29"/>
  <c r="L318" i="29" s="1"/>
  <c r="K271" i="29"/>
  <c r="L271" i="29" s="1"/>
  <c r="K222" i="29"/>
  <c r="L222" i="29" s="1"/>
  <c r="K169" i="29"/>
  <c r="L169" i="29" s="1"/>
  <c r="K52" i="29"/>
  <c r="L52" i="29" s="1"/>
  <c r="K37" i="29"/>
  <c r="L37" i="29" s="1"/>
  <c r="K369" i="29"/>
  <c r="L369" i="29" s="1"/>
  <c r="K362" i="29"/>
  <c r="L362" i="29" s="1"/>
  <c r="K29" i="29"/>
  <c r="L29" i="29" s="1"/>
  <c r="K342" i="29"/>
  <c r="L342" i="29" s="1"/>
  <c r="K340" i="29"/>
  <c r="L340" i="29" s="1"/>
  <c r="K333" i="29"/>
  <c r="L333" i="29" s="1"/>
  <c r="K331" i="29"/>
  <c r="L331" i="29" s="1"/>
  <c r="K314" i="29"/>
  <c r="L314" i="29" s="1"/>
  <c r="K307" i="29"/>
  <c r="L307" i="29" s="1"/>
  <c r="K283" i="29"/>
  <c r="L283" i="29" s="1"/>
  <c r="K274" i="29"/>
  <c r="L274" i="29" s="1"/>
  <c r="K272" i="29"/>
  <c r="L272" i="29" s="1"/>
  <c r="K262" i="29"/>
  <c r="L262" i="29" s="1"/>
  <c r="K211" i="29"/>
  <c r="L211" i="29" s="1"/>
  <c r="K44" i="29"/>
  <c r="L44" i="29" s="1"/>
  <c r="K36" i="29"/>
  <c r="L36" i="29" s="1"/>
  <c r="K390" i="29"/>
  <c r="L390" i="29" s="1"/>
  <c r="K380" i="29"/>
  <c r="L380" i="29" s="1"/>
  <c r="K358" i="29"/>
  <c r="L358" i="29" s="1"/>
  <c r="K355" i="29"/>
  <c r="L355" i="29" s="1"/>
  <c r="K350" i="29"/>
  <c r="L350" i="29" s="1"/>
  <c r="K326" i="29"/>
  <c r="L326" i="29" s="1"/>
  <c r="K324" i="29"/>
  <c r="L324" i="29" s="1"/>
  <c r="K298" i="29"/>
  <c r="L298" i="29" s="1"/>
  <c r="K223" i="29"/>
  <c r="L223" i="29" s="1"/>
  <c r="K205" i="29"/>
  <c r="L205" i="29" s="1"/>
  <c r="K144" i="29"/>
  <c r="L144" i="29" s="1"/>
  <c r="K456" i="29"/>
  <c r="L456" i="29" s="1"/>
  <c r="K363" i="29"/>
  <c r="L363" i="29" s="1"/>
  <c r="K356" i="29"/>
  <c r="L356" i="29" s="1"/>
  <c r="K322" i="29"/>
  <c r="L322" i="29" s="1"/>
  <c r="K288" i="29"/>
  <c r="L288" i="29" s="1"/>
  <c r="K260" i="29"/>
  <c r="L260" i="29" s="1"/>
  <c r="K219" i="29"/>
  <c r="L219" i="29" s="1"/>
  <c r="K31" i="29"/>
  <c r="L31" i="29" s="1"/>
  <c r="K56" i="29"/>
  <c r="L56" i="29" s="1"/>
  <c r="K815" i="29"/>
  <c r="L815" i="29" s="1"/>
  <c r="K843" i="29"/>
  <c r="L843" i="29" s="1"/>
  <c r="K768" i="29"/>
  <c r="L768" i="29" s="1"/>
  <c r="K775" i="29"/>
  <c r="L775" i="29" s="1"/>
  <c r="K662" i="29"/>
  <c r="L662" i="29" s="1"/>
  <c r="K628" i="29"/>
  <c r="L628" i="29" s="1"/>
  <c r="K673" i="29"/>
  <c r="L673" i="29" s="1"/>
  <c r="K656" i="29"/>
  <c r="L656" i="29" s="1"/>
  <c r="K626" i="29"/>
  <c r="L626" i="29" s="1"/>
  <c r="K693" i="29"/>
  <c r="L693" i="29" s="1"/>
  <c r="K667" i="29"/>
  <c r="L667" i="29" s="1"/>
  <c r="K665" i="29"/>
  <c r="L665" i="29" s="1"/>
  <c r="K624" i="29"/>
  <c r="L624" i="29" s="1"/>
  <c r="K684" i="29"/>
  <c r="L684" i="29" s="1"/>
  <c r="K661" i="29"/>
  <c r="L661" i="29" s="1"/>
  <c r="K691" i="29"/>
  <c r="L691" i="29" s="1"/>
  <c r="K682" i="29"/>
  <c r="L682" i="29" s="1"/>
  <c r="K659" i="29"/>
  <c r="L659" i="29" s="1"/>
  <c r="K657" i="29"/>
  <c r="L657" i="29" s="1"/>
  <c r="K689" i="29"/>
  <c r="L689" i="29" s="1"/>
  <c r="K637" i="29"/>
  <c r="L637" i="29" s="1"/>
  <c r="K619" i="29"/>
  <c r="L619" i="29" s="1"/>
  <c r="K601" i="29"/>
  <c r="L601" i="29" s="1"/>
  <c r="K597" i="29"/>
  <c r="L597" i="29" s="1"/>
  <c r="K595" i="29"/>
  <c r="L595" i="29" s="1"/>
  <c r="K588" i="29"/>
  <c r="L588" i="29" s="1"/>
  <c r="K392" i="29"/>
  <c r="L392" i="29" s="1"/>
  <c r="K636" i="29"/>
  <c r="L636" i="29" s="1"/>
  <c r="K616" i="29"/>
  <c r="L616" i="29" s="1"/>
  <c r="K607" i="29"/>
  <c r="L607" i="29" s="1"/>
  <c r="K605" i="29"/>
  <c r="L605" i="29" s="1"/>
  <c r="K593" i="29"/>
  <c r="L593" i="29" s="1"/>
  <c r="K614" i="29"/>
  <c r="L614" i="29" s="1"/>
  <c r="K602" i="29"/>
  <c r="L602" i="29" s="1"/>
  <c r="K386" i="29"/>
  <c r="L386" i="29" s="1"/>
  <c r="K596" i="29"/>
  <c r="L596" i="29" s="1"/>
  <c r="K589" i="29"/>
  <c r="L589" i="29" s="1"/>
  <c r="K618" i="29"/>
  <c r="L618" i="29" s="1"/>
  <c r="K615" i="29"/>
  <c r="L615" i="29" s="1"/>
  <c r="K606" i="29"/>
  <c r="L606" i="29" s="1"/>
  <c r="K393" i="29"/>
  <c r="L393" i="29" s="1"/>
  <c r="K604" i="29"/>
  <c r="L604" i="29" s="1"/>
  <c r="K609" i="29"/>
  <c r="L609" i="29" s="1"/>
  <c r="K389" i="29"/>
  <c r="L389" i="29" s="1"/>
  <c r="K371" i="29"/>
  <c r="L371" i="29" s="1"/>
  <c r="K290" i="29"/>
  <c r="L290" i="29" s="1"/>
  <c r="K375" i="29"/>
  <c r="L375" i="29" s="1"/>
  <c r="K359" i="29"/>
  <c r="L359" i="29" s="1"/>
  <c r="K357" i="29"/>
  <c r="L357" i="29" s="1"/>
  <c r="K329" i="29"/>
  <c r="L329" i="29" s="1"/>
  <c r="K321" i="29"/>
  <c r="L321" i="29" s="1"/>
  <c r="K313" i="29"/>
  <c r="L313" i="29" s="1"/>
  <c r="K302" i="29"/>
  <c r="L302" i="29" s="1"/>
  <c r="K366" i="29"/>
  <c r="L366" i="29" s="1"/>
  <c r="K344" i="29"/>
  <c r="L344" i="29" s="1"/>
  <c r="K281" i="29"/>
  <c r="L281" i="29" s="1"/>
  <c r="K373" i="29"/>
  <c r="L373" i="29" s="1"/>
  <c r="K300" i="29"/>
  <c r="L300" i="29" s="1"/>
  <c r="K345" i="29"/>
  <c r="L345" i="29" s="1"/>
  <c r="K335" i="29"/>
  <c r="L335" i="29" s="1"/>
  <c r="K327" i="29"/>
  <c r="L327" i="29" s="1"/>
  <c r="K319" i="29"/>
  <c r="L319" i="29" s="1"/>
  <c r="K291" i="29"/>
  <c r="L291" i="29" s="1"/>
  <c r="K370" i="29"/>
  <c r="L370" i="29" s="1"/>
  <c r="K303" i="29"/>
  <c r="L303" i="29" s="1"/>
  <c r="K289" i="29"/>
  <c r="L289" i="29" s="1"/>
  <c r="K374" i="29"/>
  <c r="L374" i="29" s="1"/>
  <c r="K367" i="29"/>
  <c r="L367" i="29" s="1"/>
  <c r="K328" i="29"/>
  <c r="L328" i="29" s="1"/>
  <c r="K320" i="29"/>
  <c r="L320" i="29" s="1"/>
  <c r="K310" i="29"/>
  <c r="L310" i="29" s="1"/>
  <c r="K261" i="29"/>
  <c r="L261" i="29" s="1"/>
  <c r="K252" i="29"/>
  <c r="L252" i="29" s="1"/>
  <c r="K243" i="29"/>
  <c r="L243" i="29" s="1"/>
  <c r="K237" i="29"/>
  <c r="L237" i="29" s="1"/>
  <c r="K229" i="29"/>
  <c r="L229" i="29" s="1"/>
  <c r="K227" i="29"/>
  <c r="L227" i="29" s="1"/>
  <c r="K212" i="29"/>
  <c r="L212" i="29" s="1"/>
  <c r="K259" i="29"/>
  <c r="L259" i="29" s="1"/>
  <c r="K225" i="29"/>
  <c r="L225" i="29" s="1"/>
  <c r="K215" i="29"/>
  <c r="L215" i="29" s="1"/>
  <c r="K273" i="29"/>
  <c r="L273" i="29" s="1"/>
  <c r="K270" i="29"/>
  <c r="L270" i="29" s="1"/>
  <c r="K264" i="29"/>
  <c r="L264" i="29" s="1"/>
  <c r="K253" i="29"/>
  <c r="L253" i="29" s="1"/>
  <c r="K250" i="29"/>
  <c r="L250" i="29" s="1"/>
  <c r="K244" i="29"/>
  <c r="L244" i="29" s="1"/>
  <c r="K233" i="29"/>
  <c r="L233" i="29" s="1"/>
  <c r="K220" i="29"/>
  <c r="L220" i="29" s="1"/>
  <c r="K218" i="29"/>
  <c r="L218" i="29" s="1"/>
  <c r="K216" i="29"/>
  <c r="L216" i="29" s="1"/>
  <c r="K267" i="29"/>
  <c r="L267" i="29" s="1"/>
  <c r="K228" i="29"/>
  <c r="L228" i="29" s="1"/>
  <c r="K245" i="29"/>
  <c r="L245" i="29" s="1"/>
  <c r="K242" i="29"/>
  <c r="L242" i="29" s="1"/>
  <c r="K234" i="29"/>
  <c r="L234" i="29" s="1"/>
  <c r="K277" i="29"/>
  <c r="L277" i="29" s="1"/>
  <c r="K265" i="29"/>
  <c r="L265" i="29" s="1"/>
  <c r="K251" i="29"/>
  <c r="L251" i="29" s="1"/>
  <c r="K217" i="29"/>
  <c r="L217" i="29" s="1"/>
  <c r="K214" i="29"/>
  <c r="L214" i="29" s="1"/>
  <c r="K143" i="29"/>
  <c r="L143" i="29" s="1"/>
  <c r="K146" i="29"/>
  <c r="L146" i="29" s="1"/>
  <c r="K138" i="29"/>
  <c r="L138" i="29" s="1"/>
  <c r="K71" i="29"/>
  <c r="L71" i="29" s="1"/>
  <c r="K67" i="29"/>
  <c r="L67" i="29" s="1"/>
  <c r="K30" i="29"/>
  <c r="L30" i="29" s="1"/>
  <c r="K82" i="29"/>
  <c r="L82" i="29" s="1"/>
  <c r="K69" i="29"/>
  <c r="L69" i="29" s="1"/>
  <c r="K221" i="29"/>
  <c r="L221" i="29" s="1"/>
  <c r="K213" i="29"/>
  <c r="L213" i="29" s="1"/>
  <c r="D97" i="37" l="1"/>
  <c r="K103" i="29" s="1"/>
  <c r="L103" i="29" s="1"/>
  <c r="K835" i="29"/>
  <c r="K494" i="29"/>
  <c r="L494" i="29" s="1"/>
  <c r="K439" i="29"/>
  <c r="L439" i="29" s="1"/>
  <c r="K458" i="29"/>
  <c r="L458" i="29" s="1"/>
  <c r="L454" i="29" s="1"/>
  <c r="K486" i="29"/>
  <c r="L486" i="29" s="1"/>
  <c r="K182" i="29"/>
  <c r="L182" i="29" s="1"/>
  <c r="K166" i="29"/>
  <c r="L166" i="29" s="1"/>
  <c r="L165" i="29" s="1"/>
  <c r="K541" i="29"/>
  <c r="L541" i="29" s="1"/>
  <c r="K526" i="29"/>
  <c r="L526" i="29" s="1"/>
  <c r="K179" i="29"/>
  <c r="L179" i="29" s="1"/>
  <c r="L178" i="29" s="1"/>
  <c r="K27" i="29"/>
  <c r="L27" i="29" s="1"/>
  <c r="K12" i="29"/>
  <c r="L12" i="29" s="1"/>
  <c r="K553" i="29"/>
  <c r="L553" i="29" s="1"/>
  <c r="K183" i="29"/>
  <c r="L183" i="29" s="1"/>
  <c r="K128" i="29"/>
  <c r="L128" i="29" s="1"/>
  <c r="K188" i="29"/>
  <c r="L188" i="29" s="1"/>
  <c r="L187" i="29" s="1"/>
  <c r="K285" i="37"/>
  <c r="E285" i="37" s="1"/>
  <c r="K134" i="29"/>
  <c r="L134" i="29" s="1"/>
  <c r="K204" i="29"/>
  <c r="L204" i="29" s="1"/>
  <c r="K722" i="29"/>
  <c r="L722" i="29" s="1"/>
  <c r="K131" i="29"/>
  <c r="L131" i="29" s="1"/>
  <c r="K805" i="29"/>
  <c r="L805" i="29" s="1"/>
  <c r="K429" i="29"/>
  <c r="L429" i="29" s="1"/>
  <c r="K89" i="29"/>
  <c r="L89" i="29" s="1"/>
  <c r="K519" i="29"/>
  <c r="L519" i="29" s="1"/>
  <c r="K19" i="29"/>
  <c r="L19" i="29" s="1"/>
  <c r="K92" i="29"/>
  <c r="L92" i="29" s="1"/>
  <c r="K102" i="29"/>
  <c r="L102" i="29" s="1"/>
  <c r="K571" i="29"/>
  <c r="L571" i="29" s="1"/>
  <c r="K485" i="29"/>
  <c r="L485" i="29" s="1"/>
  <c r="K806" i="29"/>
  <c r="L806" i="29" s="1"/>
  <c r="K490" i="29"/>
  <c r="L490" i="29" s="1"/>
  <c r="K730" i="29"/>
  <c r="L730" i="29" s="1"/>
  <c r="L729" i="29" s="1"/>
  <c r="K771" i="29"/>
  <c r="L771" i="29" s="1"/>
  <c r="K13" i="29"/>
  <c r="L13" i="29" s="1"/>
  <c r="K274" i="37"/>
  <c r="E274" i="37" s="1"/>
  <c r="K820" i="29"/>
  <c r="L820" i="29" s="1"/>
  <c r="K163" i="29"/>
  <c r="L163" i="29" s="1"/>
  <c r="K106" i="29"/>
  <c r="L106" i="29" s="1"/>
  <c r="K139" i="29"/>
  <c r="L139" i="29" s="1"/>
  <c r="K840" i="29"/>
  <c r="L840" i="29" s="1"/>
  <c r="K91" i="29"/>
  <c r="L91" i="29" s="1"/>
  <c r="K484" i="29"/>
  <c r="L484" i="29" s="1"/>
  <c r="K792" i="29"/>
  <c r="L792" i="29" s="1"/>
  <c r="K276" i="37"/>
  <c r="E276" i="37" s="1"/>
  <c r="K14" i="29"/>
  <c r="L14" i="29" s="1"/>
  <c r="K107" i="29"/>
  <c r="L107" i="29" s="1"/>
  <c r="K832" i="29"/>
  <c r="L832" i="29" s="1"/>
  <c r="K497" i="29"/>
  <c r="L497" i="29" s="1"/>
  <c r="K275" i="37"/>
  <c r="E275" i="37" s="1"/>
  <c r="K133" i="29"/>
  <c r="L133" i="29" s="1"/>
  <c r="K105" i="29"/>
  <c r="L105" i="29" s="1"/>
  <c r="K542" i="29"/>
  <c r="L542" i="29" s="1"/>
  <c r="K140" i="29"/>
  <c r="L140" i="29" s="1"/>
  <c r="K15" i="29"/>
  <c r="L15" i="29" s="1"/>
  <c r="K841" i="29"/>
  <c r="L841" i="29" s="1"/>
  <c r="K807" i="29"/>
  <c r="L807" i="29" s="1"/>
  <c r="K554" i="29"/>
  <c r="L554" i="29" s="1"/>
  <c r="K132" i="29"/>
  <c r="L132" i="29" s="1"/>
  <c r="K552" i="29"/>
  <c r="L552" i="29" s="1"/>
  <c r="K130" i="29"/>
  <c r="L130" i="29" s="1"/>
  <c r="K827" i="29"/>
  <c r="L827" i="29" s="1"/>
  <c r="K39" i="29"/>
  <c r="L39" i="29" s="1"/>
  <c r="K802" i="29"/>
  <c r="L802" i="29" s="1"/>
  <c r="K194" i="29"/>
  <c r="L194" i="29" s="1"/>
  <c r="K704" i="29"/>
  <c r="L704" i="29" s="1"/>
  <c r="K16" i="29"/>
  <c r="L16" i="29" s="1"/>
  <c r="K195" i="29"/>
  <c r="L195" i="29" s="1"/>
  <c r="K555" i="29"/>
  <c r="L555" i="29" s="1"/>
  <c r="K795" i="29"/>
  <c r="L795" i="29" s="1"/>
  <c r="K791" i="29"/>
  <c r="L791" i="29" s="1"/>
  <c r="K801" i="29"/>
  <c r="L801" i="29" s="1"/>
  <c r="K721" i="29"/>
  <c r="L721" i="29" s="1"/>
  <c r="K551" i="29"/>
  <c r="L551" i="29" s="1"/>
  <c r="K794" i="29"/>
  <c r="L794" i="29" s="1"/>
  <c r="K483" i="29"/>
  <c r="L483" i="29" s="1"/>
  <c r="K570" i="29"/>
  <c r="L570" i="29" s="1"/>
  <c r="K76" i="29"/>
  <c r="L76" i="29" s="1"/>
  <c r="K716" i="29"/>
  <c r="L716" i="29" s="1"/>
  <c r="K556" i="29"/>
  <c r="L556" i="29" s="1"/>
  <c r="K511" i="29"/>
  <c r="L511" i="29" s="1"/>
  <c r="K848" i="29"/>
  <c r="L848" i="29" s="1"/>
  <c r="K94" i="29"/>
  <c r="L94" i="29" s="1"/>
  <c r="K104" i="29"/>
  <c r="L104" i="29" s="1"/>
  <c r="K491" i="29"/>
  <c r="L491" i="29" s="1"/>
  <c r="K567" i="29"/>
  <c r="L567" i="29" s="1"/>
  <c r="K793" i="29"/>
  <c r="L793" i="29" s="1"/>
  <c r="K495" i="29"/>
  <c r="L495" i="29" s="1"/>
  <c r="K828" i="29"/>
  <c r="L828" i="29" s="1"/>
  <c r="K514" i="29"/>
  <c r="L514" i="29" s="1"/>
  <c r="K822" i="29"/>
  <c r="L822" i="29" s="1"/>
  <c r="K839" i="29"/>
  <c r="L839" i="29" s="1"/>
  <c r="K17" i="29"/>
  <c r="L17" i="29" s="1"/>
  <c r="K846" i="29"/>
  <c r="L846" i="29" s="1"/>
  <c r="K184" i="29"/>
  <c r="L184" i="29" s="1"/>
  <c r="K845" i="29"/>
  <c r="L845" i="29" s="1"/>
  <c r="K540" i="29"/>
  <c r="L540" i="29" s="1"/>
  <c r="K239" i="29"/>
  <c r="L239" i="29" s="1"/>
  <c r="K844" i="29"/>
  <c r="L844" i="29" s="1"/>
  <c r="K800" i="29"/>
  <c r="L800" i="29" s="1"/>
  <c r="K559" i="29"/>
  <c r="L559" i="29" s="1"/>
  <c r="K520" i="29"/>
  <c r="L520" i="29" s="1"/>
  <c r="K518" i="29"/>
  <c r="L518" i="29" s="1"/>
  <c r="K569" i="29"/>
  <c r="L569" i="29" s="1"/>
  <c r="K157" i="29"/>
  <c r="L157" i="29" s="1"/>
  <c r="K781" i="29"/>
  <c r="L781" i="29" s="1"/>
  <c r="K162" i="29"/>
  <c r="L162" i="29" s="1"/>
  <c r="K135" i="29"/>
  <c r="L135" i="29" s="1"/>
  <c r="K185" i="29"/>
  <c r="L185" i="29" s="1"/>
  <c r="K720" i="29"/>
  <c r="L720" i="29" s="1"/>
  <c r="K501" i="29"/>
  <c r="L501" i="29" s="1"/>
  <c r="K510" i="29"/>
  <c r="L510" i="29" s="1"/>
  <c r="K11" i="29"/>
  <c r="L11" i="29" s="1"/>
  <c r="K847" i="29"/>
  <c r="L847" i="29" s="1"/>
  <c r="K161" i="29"/>
  <c r="L161" i="29" s="1"/>
  <c r="K788" i="29"/>
  <c r="L788" i="29" s="1"/>
  <c r="K496" i="29"/>
  <c r="L496" i="29" s="1"/>
  <c r="K158" i="29"/>
  <c r="L158" i="29" s="1"/>
  <c r="K699" i="29"/>
  <c r="L699" i="29" s="1"/>
  <c r="K513" i="29"/>
  <c r="L513" i="29" s="1"/>
  <c r="K700" i="29"/>
  <c r="L700" i="29" s="1"/>
  <c r="K125" i="29"/>
  <c r="L125" i="29" s="1"/>
  <c r="K780" i="29"/>
  <c r="L780" i="29" s="1"/>
  <c r="K84" i="29"/>
  <c r="L84" i="29" s="1"/>
  <c r="K500" i="29"/>
  <c r="L500" i="29" s="1"/>
  <c r="K77" i="29"/>
  <c r="L77" i="29" s="1"/>
  <c r="K98" i="29"/>
  <c r="L98" i="29" s="1"/>
  <c r="K101" i="29"/>
  <c r="L101" i="29" s="1"/>
  <c r="K78" i="29"/>
  <c r="L78" i="29" s="1"/>
  <c r="K566" i="29"/>
  <c r="L566" i="29" s="1"/>
  <c r="K790" i="29"/>
  <c r="L790" i="29" s="1"/>
  <c r="K717" i="29"/>
  <c r="L717" i="29" s="1"/>
  <c r="K175" i="29"/>
  <c r="L175" i="29" s="1"/>
  <c r="K545" i="29"/>
  <c r="L545" i="29" s="1"/>
  <c r="K60" i="29"/>
  <c r="L60" i="29" s="1"/>
  <c r="K93" i="29"/>
  <c r="L93" i="29" s="1"/>
  <c r="K512" i="29"/>
  <c r="L512" i="29" s="1"/>
  <c r="D143" i="37"/>
  <c r="E143" i="37"/>
  <c r="K482" i="29"/>
  <c r="L482" i="29" s="1"/>
  <c r="K149" i="29"/>
  <c r="L149" i="29" s="1"/>
  <c r="K148" i="29"/>
  <c r="L148" i="29" s="1"/>
  <c r="K387" i="29"/>
  <c r="L387" i="29" s="1"/>
  <c r="L383" i="29" s="1"/>
  <c r="K823" i="29"/>
  <c r="Q481" i="20"/>
  <c r="K381" i="37" s="1"/>
  <c r="E381" i="37" s="1"/>
  <c r="K766" i="29" s="1"/>
  <c r="L766" i="29" s="1"/>
  <c r="K286" i="37"/>
  <c r="E286" i="37" s="1"/>
  <c r="K293" i="37"/>
  <c r="E293" i="37" s="1"/>
  <c r="Q450" i="20"/>
  <c r="K378" i="37" s="1"/>
  <c r="E378" i="37" s="1"/>
  <c r="K758" i="29" s="1"/>
  <c r="L758" i="29" s="1"/>
  <c r="L652" i="29"/>
  <c r="K536" i="29"/>
  <c r="L536" i="29" s="1"/>
  <c r="K537" i="29"/>
  <c r="L537" i="29" s="1"/>
  <c r="K535" i="29"/>
  <c r="L535" i="29" s="1"/>
  <c r="K452" i="29"/>
  <c r="L452" i="29" s="1"/>
  <c r="L444" i="29" s="1"/>
  <c r="K288" i="37"/>
  <c r="E288" i="37" s="1"/>
  <c r="K273" i="37"/>
  <c r="E273" i="37" s="1"/>
  <c r="K759" i="29"/>
  <c r="L759" i="29" s="1"/>
  <c r="K269" i="37"/>
  <c r="E269" i="37" s="1"/>
  <c r="K40" i="29"/>
  <c r="L40" i="29" s="1"/>
  <c r="K118" i="29"/>
  <c r="L118" i="29" s="1"/>
  <c r="K290" i="37"/>
  <c r="E290" i="37" s="1"/>
  <c r="K292" i="37"/>
  <c r="E292" i="37" s="1"/>
  <c r="K292" i="29"/>
  <c r="L292" i="29" s="1"/>
  <c r="K767" i="29"/>
  <c r="L767" i="29" s="1"/>
  <c r="K278" i="29"/>
  <c r="L278" i="29" s="1"/>
  <c r="K772" i="29"/>
  <c r="L772" i="29" s="1"/>
  <c r="L770" i="29" s="1"/>
  <c r="K123" i="29"/>
  <c r="L123" i="29" s="1"/>
  <c r="K293" i="29"/>
  <c r="L293" i="29" s="1"/>
  <c r="K473" i="29"/>
  <c r="L473" i="29" s="1"/>
  <c r="L466" i="29" s="1"/>
  <c r="M178" i="37"/>
  <c r="K829" i="29"/>
  <c r="L829" i="29" s="1"/>
  <c r="M191" i="37"/>
  <c r="K516" i="29"/>
  <c r="L516" i="29" s="1"/>
  <c r="D206" i="37"/>
  <c r="K583" i="29" s="1"/>
  <c r="L583" i="29" s="1"/>
  <c r="L581" i="29" s="1"/>
  <c r="M199" i="37"/>
  <c r="E199" i="37"/>
  <c r="K240" i="29" s="1"/>
  <c r="L240" i="29" s="1"/>
  <c r="K279" i="29"/>
  <c r="L279" i="29" s="1"/>
  <c r="K417" i="29"/>
  <c r="L417" i="29" s="1"/>
  <c r="K418" i="29"/>
  <c r="L418" i="29" s="1"/>
  <c r="V62" i="20"/>
  <c r="K295" i="37"/>
  <c r="E295" i="37" s="1"/>
  <c r="K289" i="37"/>
  <c r="E289" i="37" s="1"/>
  <c r="D294" i="37"/>
  <c r="K784" i="29" s="1"/>
  <c r="L784" i="29" s="1"/>
  <c r="M294" i="37"/>
  <c r="D295" i="37"/>
  <c r="D271" i="37"/>
  <c r="D272" i="37"/>
  <c r="K75" i="29" s="1"/>
  <c r="L75" i="29" s="1"/>
  <c r="M272" i="37"/>
  <c r="K291" i="37"/>
  <c r="E291" i="37" s="1"/>
  <c r="K426" i="29"/>
  <c r="L426" i="29" s="1"/>
  <c r="K428" i="29"/>
  <c r="L428" i="29" s="1"/>
  <c r="K427" i="29"/>
  <c r="L427" i="29" s="1"/>
  <c r="K432" i="29"/>
  <c r="L432" i="29" s="1"/>
  <c r="L431" i="29" s="1"/>
  <c r="K271" i="37"/>
  <c r="E271" i="37" s="1"/>
  <c r="K425" i="29"/>
  <c r="L425" i="29" s="1"/>
  <c r="K435" i="29"/>
  <c r="L435" i="29" s="1"/>
  <c r="K436" i="29"/>
  <c r="L436" i="29" s="1"/>
  <c r="K543" i="29"/>
  <c r="K117" i="29"/>
  <c r="L117" i="29" s="1"/>
  <c r="K833" i="29"/>
  <c r="L833" i="29" s="1"/>
  <c r="K122" i="29"/>
  <c r="L122" i="29" s="1"/>
  <c r="K711" i="29"/>
  <c r="L711" i="29" s="1"/>
  <c r="K442" i="29"/>
  <c r="L442" i="29" s="1"/>
  <c r="K710" i="29"/>
  <c r="L710" i="29" s="1"/>
  <c r="K108" i="29"/>
  <c r="L108" i="29" s="1"/>
  <c r="K124" i="29"/>
  <c r="L124" i="29" s="1"/>
  <c r="K121" i="29"/>
  <c r="L121" i="29" s="1"/>
  <c r="K509" i="29"/>
  <c r="L509" i="29" s="1"/>
  <c r="K565" i="29"/>
  <c r="L565" i="29" s="1"/>
  <c r="K79" i="29"/>
  <c r="L79" i="29" s="1"/>
  <c r="D212" i="37"/>
  <c r="K563" i="29" s="1"/>
  <c r="L563" i="29" s="1"/>
  <c r="M212" i="37"/>
  <c r="M211" i="37"/>
  <c r="D213" i="37"/>
  <c r="K564" i="29" s="1"/>
  <c r="L564" i="29" s="1"/>
  <c r="E185" i="37"/>
  <c r="K116" i="29" s="1"/>
  <c r="L116" i="29" s="1"/>
  <c r="M185" i="37"/>
  <c r="M195" i="37"/>
  <c r="M202" i="37"/>
  <c r="M221" i="37"/>
  <c r="K119" i="29"/>
  <c r="L119" i="29" s="1"/>
  <c r="K826" i="29"/>
  <c r="L826" i="29" s="1"/>
  <c r="K114" i="29"/>
  <c r="L114" i="29" s="1"/>
  <c r="K100" i="29"/>
  <c r="L100" i="29" s="1"/>
  <c r="K825" i="29"/>
  <c r="L825" i="29" s="1"/>
  <c r="K505" i="29"/>
  <c r="L505" i="29" s="1"/>
  <c r="K99" i="29"/>
  <c r="L99" i="29" s="1"/>
  <c r="L168" i="29"/>
  <c r="L379" i="29"/>
  <c r="L460" i="29"/>
  <c r="L645" i="29"/>
  <c r="L686" i="29"/>
  <c r="L295" i="29"/>
  <c r="L352" i="29"/>
  <c r="L306" i="29"/>
  <c r="L611" i="29"/>
  <c r="L337" i="29"/>
  <c r="L210" i="29"/>
  <c r="L630" i="29"/>
  <c r="L599" i="29"/>
  <c r="L249" i="29"/>
  <c r="L738" i="29"/>
  <c r="L312" i="29"/>
  <c r="L151" i="29"/>
  <c r="L258" i="29"/>
  <c r="L774" i="29"/>
  <c r="L587" i="29"/>
  <c r="L232" i="29"/>
  <c r="L681" i="29"/>
  <c r="L813" i="29"/>
  <c r="K95" i="29" l="1"/>
  <c r="L95" i="29" s="1"/>
  <c r="K498" i="29"/>
  <c r="L498" i="29" s="1"/>
  <c r="L493" i="29" s="1"/>
  <c r="L799" i="29"/>
  <c r="K789" i="29"/>
  <c r="L789" i="29" s="1"/>
  <c r="L787" i="29" s="1"/>
  <c r="L719" i="29"/>
  <c r="L779" i="29"/>
  <c r="K506" i="29"/>
  <c r="L506" i="29" s="1"/>
  <c r="L156" i="29"/>
  <c r="K96" i="29"/>
  <c r="L96" i="29" s="1"/>
  <c r="L715" i="29"/>
  <c r="L160" i="29"/>
  <c r="L181" i="29"/>
  <c r="K61" i="29"/>
  <c r="L61" i="29" s="1"/>
  <c r="L50" i="29" s="1"/>
  <c r="K109" i="29"/>
  <c r="L109" i="29" s="1"/>
  <c r="K831" i="29"/>
  <c r="L831" i="29" s="1"/>
  <c r="K80" i="29"/>
  <c r="L80" i="29" s="1"/>
  <c r="K830" i="29"/>
  <c r="L830" i="29" s="1"/>
  <c r="L838" i="29"/>
  <c r="L438" i="29"/>
  <c r="L804" i="29"/>
  <c r="L550" i="29"/>
  <c r="L236" i="29"/>
  <c r="L698" i="29"/>
  <c r="L142" i="29"/>
  <c r="J268" i="37"/>
  <c r="M268" i="37" s="1"/>
  <c r="K478" i="29"/>
  <c r="L478" i="29" s="1"/>
  <c r="K18" i="29"/>
  <c r="L18" i="29" s="1"/>
  <c r="L9" i="29" s="1"/>
  <c r="K479" i="29"/>
  <c r="L479" i="29" s="1"/>
  <c r="L823" i="29"/>
  <c r="K504" i="29"/>
  <c r="L835" i="29"/>
  <c r="L276" i="29"/>
  <c r="L757" i="29"/>
  <c r="L528" i="29"/>
  <c r="L424" i="29"/>
  <c r="L287" i="29"/>
  <c r="L765" i="29"/>
  <c r="L416" i="29"/>
  <c r="L402" i="29" s="1"/>
  <c r="K74" i="29"/>
  <c r="L74" i="29" s="1"/>
  <c r="M295" i="37"/>
  <c r="M271" i="37"/>
  <c r="K785" i="29"/>
  <c r="L785" i="29" s="1"/>
  <c r="L783" i="29" s="1"/>
  <c r="L434" i="29"/>
  <c r="L709" i="29"/>
  <c r="L558" i="29"/>
  <c r="L586" i="29"/>
  <c r="L714" i="29" l="1"/>
  <c r="L155" i="29"/>
  <c r="L257" i="29"/>
  <c r="D268" i="37"/>
  <c r="K47" i="29" s="1"/>
  <c r="L47" i="29" s="1"/>
  <c r="L778" i="29"/>
  <c r="L504" i="29"/>
  <c r="L503" i="29" s="1"/>
  <c r="K763" i="29"/>
  <c r="L763" i="29" s="1"/>
  <c r="L762" i="29" s="1"/>
  <c r="L423" i="29"/>
  <c r="M130" i="37" l="1"/>
  <c r="N130" i="37" s="1"/>
  <c r="D130" i="37" s="1"/>
  <c r="P130" i="37" l="1"/>
  <c r="O130" i="37"/>
  <c r="E130" i="37" s="1"/>
  <c r="K70" i="29" s="1"/>
  <c r="L70" i="29" s="1"/>
  <c r="L65" i="29" l="1"/>
  <c r="K43" i="29" l="1"/>
  <c r="L43" i="29" s="1"/>
  <c r="L86" i="29"/>
  <c r="L64" i="29" s="1"/>
  <c r="K88" i="29"/>
  <c r="L88" i="29"/>
  <c r="L113" i="29"/>
  <c r="K126" i="29"/>
  <c r="L126" i="29" s="1"/>
  <c r="K127" i="29"/>
  <c r="L127" i="29" s="1"/>
  <c r="K176" i="29"/>
  <c r="L176" i="29"/>
  <c r="L174" i="29" s="1"/>
  <c r="L192" i="29"/>
  <c r="K196" i="29"/>
  <c r="L196" i="29" s="1"/>
  <c r="K197" i="29"/>
  <c r="L197" i="29"/>
  <c r="K199" i="29"/>
  <c r="L199" i="29" s="1"/>
  <c r="K488" i="29"/>
  <c r="L488" i="29"/>
  <c r="K517" i="29"/>
  <c r="L517" i="29"/>
  <c r="K521" i="29"/>
  <c r="L521" i="29"/>
  <c r="K523" i="29"/>
  <c r="L523" i="29"/>
  <c r="K544" i="29"/>
  <c r="L544" i="29"/>
  <c r="K577" i="29"/>
  <c r="L577" i="29"/>
  <c r="K578" i="29"/>
  <c r="L578" i="29" s="1"/>
  <c r="K579" i="29"/>
  <c r="L579" i="29"/>
  <c r="K703" i="29"/>
  <c r="L703" i="29"/>
  <c r="K733" i="29"/>
  <c r="L733" i="29" s="1"/>
  <c r="K734" i="29"/>
  <c r="L734" i="29"/>
  <c r="K735" i="29"/>
  <c r="L735" i="29"/>
  <c r="K736" i="29"/>
  <c r="L736" i="29"/>
  <c r="K742" i="29"/>
  <c r="L742" i="29"/>
  <c r="K743" i="29"/>
  <c r="L743" i="29"/>
  <c r="K744" i="29"/>
  <c r="L744" i="29" s="1"/>
  <c r="K745" i="29"/>
  <c r="L745" i="29" s="1"/>
  <c r="K746" i="29"/>
  <c r="L746" i="29"/>
  <c r="K747" i="29"/>
  <c r="L747" i="29"/>
  <c r="K748" i="29"/>
  <c r="L748" i="29"/>
  <c r="K749" i="29"/>
  <c r="L749" i="29" s="1"/>
  <c r="K750" i="29"/>
  <c r="L750" i="29"/>
  <c r="K751" i="29"/>
  <c r="L751" i="29"/>
  <c r="K752" i="29"/>
  <c r="L752" i="29"/>
  <c r="K753" i="29"/>
  <c r="L753" i="29"/>
  <c r="K754" i="29"/>
  <c r="L754" i="29"/>
  <c r="K755" i="29"/>
  <c r="L755" i="29"/>
  <c r="K810" i="29"/>
  <c r="L810" i="29" s="1"/>
  <c r="L809" i="29" s="1"/>
  <c r="L798" i="29" s="1"/>
  <c r="K821" i="29"/>
  <c r="L821" i="29"/>
  <c r="K834" i="29"/>
  <c r="L834" i="29" s="1"/>
  <c r="L539" i="29" l="1"/>
  <c r="L191" i="29"/>
  <c r="L741" i="29"/>
  <c r="L732" i="29"/>
  <c r="L173" i="29"/>
  <c r="L23" i="29"/>
  <c r="L112" i="29"/>
  <c r="L702" i="29"/>
  <c r="L818" i="29"/>
  <c r="L819" i="29"/>
  <c r="L576" i="29"/>
  <c r="L477" i="29"/>
  <c r="L508" i="29"/>
  <c r="L697" i="29" l="1"/>
  <c r="L728" i="29"/>
  <c r="L22" i="29"/>
  <c r="L476" i="29"/>
  <c r="L549" i="29"/>
  <c r="L851" i="29" l="1"/>
  <c r="M476" i="29" s="1"/>
  <c r="M549" i="29" l="1"/>
  <c r="M9" i="29"/>
  <c r="M32" i="29"/>
  <c r="M54" i="29"/>
  <c r="M65" i="29"/>
  <c r="M77" i="29"/>
  <c r="M98" i="29"/>
  <c r="M110" i="29"/>
  <c r="M120" i="29"/>
  <c r="M128" i="29"/>
  <c r="M140" i="29"/>
  <c r="M152" i="29"/>
  <c r="M164" i="29"/>
  <c r="M184" i="29"/>
  <c r="M195" i="29"/>
  <c r="M202" i="29"/>
  <c r="M214" i="29"/>
  <c r="M226" i="29"/>
  <c r="M238" i="29"/>
  <c r="M250" i="29"/>
  <c r="M262" i="29"/>
  <c r="M274" i="29"/>
  <c r="M286" i="29"/>
  <c r="M298" i="29"/>
  <c r="M310" i="29"/>
  <c r="M322" i="29"/>
  <c r="M334" i="29"/>
  <c r="M346" i="29"/>
  <c r="M358" i="29"/>
  <c r="M370" i="29"/>
  <c r="M382" i="29"/>
  <c r="M394" i="29"/>
  <c r="M416" i="29"/>
  <c r="M428" i="29"/>
  <c r="M440" i="29"/>
  <c r="M452" i="29"/>
  <c r="M464" i="29"/>
  <c r="M11" i="29"/>
  <c r="M34" i="29"/>
  <c r="M44" i="29"/>
  <c r="M56" i="29"/>
  <c r="M67" i="29"/>
  <c r="M79" i="29"/>
  <c r="M100" i="29"/>
  <c r="M122" i="29"/>
  <c r="M130" i="29"/>
  <c r="M142" i="29"/>
  <c r="M154" i="29"/>
  <c r="M166" i="29"/>
  <c r="M186" i="29"/>
  <c r="M36" i="29"/>
  <c r="M48" i="29"/>
  <c r="M62" i="29"/>
  <c r="M75" i="29"/>
  <c r="M101" i="29"/>
  <c r="M137" i="29"/>
  <c r="M151" i="29"/>
  <c r="M167" i="29"/>
  <c r="M211" i="29"/>
  <c r="M224" i="29"/>
  <c r="M237" i="29"/>
  <c r="M251" i="29"/>
  <c r="M264" i="29"/>
  <c r="M277" i="29"/>
  <c r="M290" i="29"/>
  <c r="M303" i="29"/>
  <c r="M316" i="29"/>
  <c r="M329" i="29"/>
  <c r="M342" i="29"/>
  <c r="M355" i="29"/>
  <c r="M37" i="29"/>
  <c r="M49" i="29"/>
  <c r="M63" i="29"/>
  <c r="M76" i="29"/>
  <c r="M102" i="29"/>
  <c r="M114" i="29"/>
  <c r="M138" i="29"/>
  <c r="M153" i="29"/>
  <c r="M168" i="29"/>
  <c r="M177" i="29"/>
  <c r="M212" i="29"/>
  <c r="M225" i="29"/>
  <c r="M239" i="29"/>
  <c r="M252" i="29"/>
  <c r="M265" i="29"/>
  <c r="M278" i="29"/>
  <c r="M291" i="29"/>
  <c r="M304" i="29"/>
  <c r="M317" i="29"/>
  <c r="M330" i="29"/>
  <c r="M343" i="29"/>
  <c r="M356" i="29"/>
  <c r="M369" i="29"/>
  <c r="M383" i="29"/>
  <c r="M396" i="29"/>
  <c r="M419" i="29"/>
  <c r="M432" i="29"/>
  <c r="M445" i="29"/>
  <c r="M458" i="29"/>
  <c r="M471" i="29"/>
  <c r="M482" i="29"/>
  <c r="M492" i="29"/>
  <c r="M504" i="29"/>
  <c r="M515" i="29"/>
  <c r="M533" i="29"/>
  <c r="M553" i="29"/>
  <c r="M565" i="29"/>
  <c r="M585" i="29"/>
  <c r="M597" i="29"/>
  <c r="M609" i="29"/>
  <c r="M621" i="29"/>
  <c r="M633" i="29"/>
  <c r="M645" i="29"/>
  <c r="M10" i="29"/>
  <c r="M24" i="29"/>
  <c r="M38" i="29"/>
  <c r="M50" i="29"/>
  <c r="M78" i="29"/>
  <c r="M89" i="29"/>
  <c r="M103" i="29"/>
  <c r="M115" i="29"/>
  <c r="M12" i="29"/>
  <c r="M25" i="29"/>
  <c r="M39" i="29"/>
  <c r="M51" i="29"/>
  <c r="M80" i="29"/>
  <c r="M90" i="29"/>
  <c r="M104" i="29"/>
  <c r="M116" i="29"/>
  <c r="M141" i="29"/>
  <c r="M156" i="29"/>
  <c r="M170" i="29"/>
  <c r="M179" i="29"/>
  <c r="M201" i="29"/>
  <c r="M215" i="29"/>
  <c r="M228" i="29"/>
  <c r="M241" i="29"/>
  <c r="M254" i="29"/>
  <c r="M267" i="29"/>
  <c r="M280" i="29"/>
  <c r="M293" i="29"/>
  <c r="M306" i="29"/>
  <c r="M319" i="29"/>
  <c r="M332" i="29"/>
  <c r="M345" i="29"/>
  <c r="M359" i="29"/>
  <c r="M372" i="29"/>
  <c r="M385" i="29"/>
  <c r="M398" i="29"/>
  <c r="M421" i="29"/>
  <c r="M434" i="29"/>
  <c r="M447" i="29"/>
  <c r="M460" i="29"/>
  <c r="M473" i="29"/>
  <c r="M484" i="29"/>
  <c r="M494" i="29"/>
  <c r="M506" i="29"/>
  <c r="M535" i="29"/>
  <c r="M555" i="29"/>
  <c r="M567" i="29"/>
  <c r="M587" i="29"/>
  <c r="M599" i="29"/>
  <c r="M611" i="29"/>
  <c r="M623" i="29"/>
  <c r="M635" i="29"/>
  <c r="M647" i="29"/>
  <c r="M659" i="29"/>
  <c r="M671" i="29"/>
  <c r="M683" i="29"/>
  <c r="M695" i="29"/>
  <c r="M715" i="29"/>
  <c r="M14" i="29"/>
  <c r="M27" i="29"/>
  <c r="M41" i="29"/>
  <c r="M53" i="29"/>
  <c r="M68" i="29"/>
  <c r="M82" i="29"/>
  <c r="M92" i="29"/>
  <c r="M106" i="29"/>
  <c r="M118" i="29"/>
  <c r="M129" i="29"/>
  <c r="M144" i="29"/>
  <c r="M158" i="29"/>
  <c r="M172" i="29"/>
  <c r="M181" i="29"/>
  <c r="M194" i="29"/>
  <c r="M204" i="29"/>
  <c r="M217" i="29"/>
  <c r="M230" i="29"/>
  <c r="M243" i="29"/>
  <c r="M256" i="29"/>
  <c r="M269" i="29"/>
  <c r="M282" i="29"/>
  <c r="M295" i="29"/>
  <c r="M308" i="29"/>
  <c r="M321" i="29"/>
  <c r="M335" i="29"/>
  <c r="M348" i="29"/>
  <c r="M361" i="29"/>
  <c r="M374" i="29"/>
  <c r="M387" i="29"/>
  <c r="M400" i="29"/>
  <c r="M423" i="29"/>
  <c r="M436" i="29"/>
  <c r="M449" i="29"/>
  <c r="M462" i="29"/>
  <c r="M475" i="29"/>
  <c r="M486" i="29"/>
  <c r="M496" i="29"/>
  <c r="M525" i="29"/>
  <c r="M537" i="29"/>
  <c r="M546" i="29"/>
  <c r="M557" i="29"/>
  <c r="M569" i="29"/>
  <c r="M589" i="29"/>
  <c r="M601" i="29"/>
  <c r="M613" i="29"/>
  <c r="M625" i="29"/>
  <c r="M637" i="29"/>
  <c r="M649" i="29"/>
  <c r="M661" i="29"/>
  <c r="M673" i="29"/>
  <c r="M17" i="29"/>
  <c r="M42" i="29"/>
  <c r="M61" i="29"/>
  <c r="M105" i="29"/>
  <c r="M125" i="29"/>
  <c r="M145" i="29"/>
  <c r="M163" i="29"/>
  <c r="M182" i="29"/>
  <c r="M216" i="29"/>
  <c r="M234" i="29"/>
  <c r="M255" i="29"/>
  <c r="M273" i="29"/>
  <c r="M294" i="29"/>
  <c r="M313" i="29"/>
  <c r="M333" i="29"/>
  <c r="M352" i="29"/>
  <c r="M371" i="29"/>
  <c r="M389" i="29"/>
  <c r="M415" i="29"/>
  <c r="M433" i="29"/>
  <c r="M451" i="29"/>
  <c r="M468" i="29"/>
  <c r="M483" i="29"/>
  <c r="M498" i="29"/>
  <c r="M512" i="29"/>
  <c r="M522" i="29"/>
  <c r="M536" i="29"/>
  <c r="M548" i="29"/>
  <c r="M562" i="29"/>
  <c r="M590" i="29"/>
  <c r="M605" i="29"/>
  <c r="M620" i="29"/>
  <c r="M638" i="29"/>
  <c r="M653" i="29"/>
  <c r="M667" i="29"/>
  <c r="M681" i="29"/>
  <c r="M694" i="29"/>
  <c r="M704" i="29"/>
  <c r="M717" i="29"/>
  <c r="M762" i="29"/>
  <c r="M774" i="29"/>
  <c r="M786" i="29"/>
  <c r="M826" i="29"/>
  <c r="M836" i="29"/>
  <c r="M848" i="29"/>
  <c r="M19" i="29"/>
  <c r="M69" i="29"/>
  <c r="M87" i="29"/>
  <c r="M108" i="29"/>
  <c r="M147" i="29"/>
  <c r="M169" i="29"/>
  <c r="M185" i="29"/>
  <c r="M219" i="29"/>
  <c r="M236" i="29"/>
  <c r="M258" i="29"/>
  <c r="M276" i="29"/>
  <c r="M297" i="29"/>
  <c r="M315" i="29"/>
  <c r="M337" i="29"/>
  <c r="M354" i="29"/>
  <c r="M375" i="29"/>
  <c r="M391" i="29"/>
  <c r="M418" i="29"/>
  <c r="M437" i="29"/>
  <c r="M454" i="29"/>
  <c r="M470" i="29"/>
  <c r="M487" i="29"/>
  <c r="M500" i="29"/>
  <c r="M514" i="29"/>
  <c r="M564" i="29"/>
  <c r="M592" i="29"/>
  <c r="M607" i="29"/>
  <c r="M624" i="29"/>
  <c r="M640" i="29"/>
  <c r="M655" i="29"/>
  <c r="M669" i="29"/>
  <c r="M684" i="29"/>
  <c r="M706" i="29"/>
  <c r="M719" i="29"/>
  <c r="M730" i="29"/>
  <c r="M764" i="29"/>
  <c r="M776" i="29"/>
  <c r="M788" i="29"/>
  <c r="M799" i="29"/>
  <c r="M828" i="29"/>
  <c r="M838" i="29"/>
  <c r="L853" i="29"/>
  <c r="L855" i="29" s="1"/>
  <c r="M20" i="29"/>
  <c r="M45" i="29"/>
  <c r="M70" i="29"/>
  <c r="M109" i="29"/>
  <c r="M148" i="29"/>
  <c r="M171" i="29"/>
  <c r="M187" i="29"/>
  <c r="M220" i="29"/>
  <c r="M240" i="29"/>
  <c r="M259" i="29"/>
  <c r="M279" i="29"/>
  <c r="M299" i="29"/>
  <c r="M318" i="29"/>
  <c r="M338" i="29"/>
  <c r="M357" i="29"/>
  <c r="M376" i="29"/>
  <c r="M392" i="29"/>
  <c r="M420" i="29"/>
  <c r="M438" i="29"/>
  <c r="M455" i="29"/>
  <c r="M472" i="29"/>
  <c r="M501" i="29"/>
  <c r="M516" i="29"/>
  <c r="M524" i="29"/>
  <c r="M550" i="29"/>
  <c r="M566" i="29"/>
  <c r="M593" i="29"/>
  <c r="M608" i="29"/>
  <c r="M626" i="29"/>
  <c r="M641" i="29"/>
  <c r="M656" i="29"/>
  <c r="M670" i="29"/>
  <c r="M685" i="29"/>
  <c r="M707" i="29"/>
  <c r="M720" i="29"/>
  <c r="M731" i="29"/>
  <c r="M765" i="29"/>
  <c r="M777" i="29"/>
  <c r="M789" i="29"/>
  <c r="M800" i="29"/>
  <c r="M829" i="29"/>
  <c r="M839" i="29"/>
  <c r="M26" i="29"/>
  <c r="M46" i="29"/>
  <c r="M71" i="29"/>
  <c r="M111" i="29"/>
  <c r="M131" i="29"/>
  <c r="M149" i="29"/>
  <c r="M188" i="29"/>
  <c r="M28" i="29"/>
  <c r="M47" i="29"/>
  <c r="M72" i="29"/>
  <c r="M91" i="29"/>
  <c r="M132" i="29"/>
  <c r="M150" i="29"/>
  <c r="M189" i="29"/>
  <c r="M205" i="29"/>
  <c r="M222" i="29"/>
  <c r="M244" i="29"/>
  <c r="M261" i="29"/>
  <c r="M283" i="29"/>
  <c r="M301" i="29"/>
  <c r="M323" i="29"/>
  <c r="M340" i="29"/>
  <c r="M362" i="29"/>
  <c r="M378" i="29"/>
  <c r="M395" i="29"/>
  <c r="M424" i="29"/>
  <c r="M441" i="29"/>
  <c r="M457" i="29"/>
  <c r="M503" i="29"/>
  <c r="M527" i="29"/>
  <c r="M541" i="29"/>
  <c r="M552" i="29"/>
  <c r="M570" i="29"/>
  <c r="M580" i="29"/>
  <c r="M595" i="29"/>
  <c r="M612" i="29"/>
  <c r="M628" i="29"/>
  <c r="M643" i="29"/>
  <c r="M658" i="29"/>
  <c r="M674" i="29"/>
  <c r="M687" i="29"/>
  <c r="M699" i="29"/>
  <c r="M709" i="29"/>
  <c r="M722" i="29"/>
  <c r="M767" i="29"/>
  <c r="M779" i="29"/>
  <c r="M791" i="29"/>
  <c r="M802" i="29"/>
  <c r="M811" i="29"/>
  <c r="M831" i="29"/>
  <c r="M841" i="29"/>
  <c r="M30" i="29"/>
  <c r="M66" i="29"/>
  <c r="M94" i="29"/>
  <c r="M160" i="29"/>
  <c r="M193" i="29"/>
  <c r="M210" i="29"/>
  <c r="M245" i="29"/>
  <c r="M271" i="29"/>
  <c r="M302" i="29"/>
  <c r="M328" i="29"/>
  <c r="M363" i="29"/>
  <c r="M386" i="29"/>
  <c r="M425" i="29"/>
  <c r="M448" i="29"/>
  <c r="M493" i="29"/>
  <c r="M529" i="29"/>
  <c r="M547" i="29"/>
  <c r="M575" i="29"/>
  <c r="M583" i="29"/>
  <c r="M606" i="29"/>
  <c r="M631" i="29"/>
  <c r="M654" i="29"/>
  <c r="M677" i="29"/>
  <c r="M696" i="29"/>
  <c r="M712" i="29"/>
  <c r="M729" i="29"/>
  <c r="M737" i="29"/>
  <c r="M768" i="29"/>
  <c r="M784" i="29"/>
  <c r="M803" i="29"/>
  <c r="M815" i="29"/>
  <c r="M827" i="29"/>
  <c r="M844" i="29"/>
  <c r="M31" i="29"/>
  <c r="M73" i="29"/>
  <c r="M95" i="29"/>
  <c r="M161" i="29"/>
  <c r="M213" i="29"/>
  <c r="M246" i="29"/>
  <c r="M272" i="29"/>
  <c r="M305" i="29"/>
  <c r="M331" i="29"/>
  <c r="M364" i="29"/>
  <c r="M388" i="29"/>
  <c r="M426" i="29"/>
  <c r="M450" i="29"/>
  <c r="M495" i="29"/>
  <c r="M530" i="29"/>
  <c r="M584" i="29"/>
  <c r="M610" i="29"/>
  <c r="M632" i="29"/>
  <c r="M657" i="29"/>
  <c r="M678" i="29"/>
  <c r="M698" i="29"/>
  <c r="M713" i="29"/>
  <c r="M738" i="29"/>
  <c r="M769" i="29"/>
  <c r="M785" i="29"/>
  <c r="M804" i="29"/>
  <c r="M816" i="29"/>
  <c r="M830" i="29"/>
  <c r="M845" i="29"/>
  <c r="M85" i="29"/>
  <c r="M139" i="29"/>
  <c r="M229" i="29"/>
  <c r="M257" i="29"/>
  <c r="M347" i="29"/>
  <c r="M373" i="29"/>
  <c r="M435" i="29"/>
  <c r="M463" i="29"/>
  <c r="M507" i="29"/>
  <c r="M540" i="29"/>
  <c r="M596" i="29"/>
  <c r="M665" i="29"/>
  <c r="M758" i="29"/>
  <c r="M794" i="29"/>
  <c r="M13" i="29"/>
  <c r="M117" i="29"/>
  <c r="M143" i="29"/>
  <c r="M288" i="29"/>
  <c r="M402" i="29"/>
  <c r="M465" i="29"/>
  <c r="M521" i="29"/>
  <c r="M560" i="29"/>
  <c r="M619" i="29"/>
  <c r="M666" i="29"/>
  <c r="M724" i="29"/>
  <c r="M734" i="29"/>
  <c r="M795" i="29"/>
  <c r="M821" i="29"/>
  <c r="M835" i="29"/>
  <c r="M15" i="29"/>
  <c r="M86" i="29"/>
  <c r="M146" i="29"/>
  <c r="M178" i="29"/>
  <c r="M206" i="29"/>
  <c r="M263" i="29"/>
  <c r="M289" i="29"/>
  <c r="M324" i="29"/>
  <c r="M350" i="29"/>
  <c r="M403" i="29"/>
  <c r="M466" i="29"/>
  <c r="M509" i="29"/>
  <c r="M561" i="29"/>
  <c r="M622" i="29"/>
  <c r="M648" i="29"/>
  <c r="M690" i="29"/>
  <c r="M725" i="29"/>
  <c r="M752" i="29"/>
  <c r="M780" i="29"/>
  <c r="M822" i="29"/>
  <c r="M16" i="29"/>
  <c r="M155" i="29"/>
  <c r="M233" i="29"/>
  <c r="M292" i="29"/>
  <c r="M351" i="29"/>
  <c r="M404" i="29"/>
  <c r="M489" i="29"/>
  <c r="M563" i="29"/>
  <c r="M602" i="29"/>
  <c r="M627" i="29"/>
  <c r="M672" i="29"/>
  <c r="M119" i="29"/>
  <c r="M600" i="29"/>
  <c r="M33" i="29"/>
  <c r="M74" i="29"/>
  <c r="M96" i="29"/>
  <c r="M133" i="29"/>
  <c r="M162" i="29"/>
  <c r="M218" i="29"/>
  <c r="M247" i="29"/>
  <c r="M275" i="29"/>
  <c r="M307" i="29"/>
  <c r="M336" i="29"/>
  <c r="M365" i="29"/>
  <c r="M390" i="29"/>
  <c r="M427" i="29"/>
  <c r="M453" i="29"/>
  <c r="M478" i="29"/>
  <c r="M497" i="29"/>
  <c r="M518" i="29"/>
  <c r="M531" i="29"/>
  <c r="M551" i="29"/>
  <c r="M586" i="29"/>
  <c r="M614" i="29"/>
  <c r="M634" i="29"/>
  <c r="M660" i="29"/>
  <c r="M679" i="29"/>
  <c r="M700" i="29"/>
  <c r="M714" i="29"/>
  <c r="M739" i="29"/>
  <c r="M770" i="29"/>
  <c r="M787" i="29"/>
  <c r="M805" i="29"/>
  <c r="M817" i="29"/>
  <c r="M832" i="29"/>
  <c r="M846" i="29"/>
  <c r="M223" i="29"/>
  <c r="M556" i="29"/>
  <c r="M663" i="29"/>
  <c r="M718" i="29"/>
  <c r="M756" i="29"/>
  <c r="M792" i="29"/>
  <c r="M820" i="29"/>
  <c r="M287" i="29"/>
  <c r="M349" i="29"/>
  <c r="M689" i="29"/>
  <c r="M759" i="29"/>
  <c r="M57" i="29"/>
  <c r="M232" i="29"/>
  <c r="M442" i="29"/>
  <c r="M543" i="29"/>
  <c r="M705" i="29"/>
  <c r="M810" i="29"/>
  <c r="M180" i="29"/>
  <c r="M467" i="29"/>
  <c r="M35" i="29"/>
  <c r="M81" i="29"/>
  <c r="M97" i="29"/>
  <c r="M134" i="29"/>
  <c r="M165" i="29"/>
  <c r="M221" i="29"/>
  <c r="M248" i="29"/>
  <c r="M281" i="29"/>
  <c r="M309" i="29"/>
  <c r="M339" i="29"/>
  <c r="M366" i="29"/>
  <c r="M393" i="29"/>
  <c r="M429" i="29"/>
  <c r="M456" i="29"/>
  <c r="M479" i="29"/>
  <c r="M499" i="29"/>
  <c r="M519" i="29"/>
  <c r="M532" i="29"/>
  <c r="M554" i="29"/>
  <c r="M588" i="29"/>
  <c r="M615" i="29"/>
  <c r="M636" i="29"/>
  <c r="M662" i="29"/>
  <c r="M680" i="29"/>
  <c r="M701" i="29"/>
  <c r="M716" i="29"/>
  <c r="M740" i="29"/>
  <c r="M771" i="29"/>
  <c r="M790" i="29"/>
  <c r="M806" i="29"/>
  <c r="M833" i="29"/>
  <c r="M847" i="29"/>
  <c r="M40" i="29"/>
  <c r="M83" i="29"/>
  <c r="M99" i="29"/>
  <c r="M135" i="29"/>
  <c r="M249" i="29"/>
  <c r="M284" i="29"/>
  <c r="M311" i="29"/>
  <c r="M341" i="29"/>
  <c r="M367" i="29"/>
  <c r="M397" i="29"/>
  <c r="M430" i="29"/>
  <c r="M459" i="29"/>
  <c r="M480" i="29"/>
  <c r="M502" i="29"/>
  <c r="M520" i="29"/>
  <c r="M534" i="29"/>
  <c r="M591" i="29"/>
  <c r="M616" i="29"/>
  <c r="M639" i="29"/>
  <c r="M682" i="29"/>
  <c r="M772" i="29"/>
  <c r="M807" i="29"/>
  <c r="M52" i="29"/>
  <c r="M314" i="29"/>
  <c r="M401" i="29"/>
  <c r="M485" i="29"/>
  <c r="M559" i="29"/>
  <c r="M578" i="29"/>
  <c r="M618" i="29"/>
  <c r="M644" i="29"/>
  <c r="M688" i="29"/>
  <c r="M723" i="29"/>
  <c r="M775" i="29"/>
  <c r="M55" i="29"/>
  <c r="M203" i="29"/>
  <c r="M231" i="29"/>
  <c r="M260" i="29"/>
  <c r="M320" i="29"/>
  <c r="M377" i="29"/>
  <c r="M439" i="29"/>
  <c r="M542" i="29"/>
  <c r="M598" i="29"/>
  <c r="M646" i="29"/>
  <c r="M778" i="29"/>
  <c r="M379" i="29"/>
  <c r="M668" i="29"/>
  <c r="M760" i="29"/>
  <c r="M796" i="29"/>
  <c r="M837" i="29"/>
  <c r="M58" i="29"/>
  <c r="M121" i="29"/>
  <c r="M207" i="29"/>
  <c r="M266" i="29"/>
  <c r="M325" i="29"/>
  <c r="M380" i="29"/>
  <c r="M443" i="29"/>
  <c r="M510" i="29"/>
  <c r="M579" i="29"/>
  <c r="M650" i="29"/>
  <c r="M84" i="29"/>
  <c r="M107" i="29"/>
  <c r="M136" i="29"/>
  <c r="M175" i="29"/>
  <c r="M198" i="29"/>
  <c r="M227" i="29"/>
  <c r="M253" i="29"/>
  <c r="M285" i="29"/>
  <c r="M312" i="29"/>
  <c r="M344" i="29"/>
  <c r="M368" i="29"/>
  <c r="M399" i="29"/>
  <c r="M431" i="29"/>
  <c r="M461" i="29"/>
  <c r="M481" i="29"/>
  <c r="M505" i="29"/>
  <c r="M538" i="29"/>
  <c r="M558" i="29"/>
  <c r="M594" i="29"/>
  <c r="M617" i="29"/>
  <c r="M642" i="29"/>
  <c r="M664" i="29"/>
  <c r="M686" i="29"/>
  <c r="M721" i="29"/>
  <c r="M757" i="29"/>
  <c r="M773" i="29"/>
  <c r="M793" i="29"/>
  <c r="M808" i="29"/>
  <c r="M270" i="29"/>
  <c r="M446" i="29"/>
  <c r="M676" i="29"/>
  <c r="M763" i="29"/>
  <c r="M296" i="29"/>
  <c r="M469" i="29"/>
  <c r="M691" i="29"/>
  <c r="M766" i="29"/>
  <c r="M300" i="29"/>
  <c r="M474" i="29"/>
  <c r="M692" i="29"/>
  <c r="M781" i="29"/>
  <c r="M823" i="29"/>
  <c r="M693" i="29"/>
  <c r="M782" i="29"/>
  <c r="M824" i="29"/>
  <c r="M825" i="29"/>
  <c r="M123" i="29"/>
  <c r="M353" i="29"/>
  <c r="M490" i="29"/>
  <c r="M603" i="29"/>
  <c r="M604" i="29"/>
  <c r="M840" i="29"/>
  <c r="M18" i="29"/>
  <c r="M208" i="29"/>
  <c r="M511" i="29"/>
  <c r="M629" i="29"/>
  <c r="M710" i="29"/>
  <c r="M29" i="29"/>
  <c r="M568" i="29"/>
  <c r="M157" i="29"/>
  <c r="M651" i="29"/>
  <c r="M727" i="29"/>
  <c r="M814" i="29"/>
  <c r="M183" i="29"/>
  <c r="M327" i="29"/>
  <c r="M797" i="29"/>
  <c r="M491" i="29"/>
  <c r="M381" i="29"/>
  <c r="M842" i="29"/>
  <c r="M513" i="29"/>
  <c r="M748" i="29"/>
  <c r="M417" i="29"/>
  <c r="M812" i="29"/>
  <c r="M159" i="29"/>
  <c r="M528" i="29"/>
  <c r="M783" i="29"/>
  <c r="M124" i="29"/>
  <c r="M360" i="29"/>
  <c r="M711" i="29"/>
  <c r="M235" i="29"/>
  <c r="M726" i="29"/>
  <c r="M422" i="29"/>
  <c r="M268" i="29"/>
  <c r="M93" i="29"/>
  <c r="M326" i="29"/>
  <c r="M526" i="29"/>
  <c r="M581" i="29"/>
  <c r="M582" i="29"/>
  <c r="M708" i="29"/>
  <c r="M753" i="29"/>
  <c r="M798" i="29"/>
  <c r="M545" i="29"/>
  <c r="M801" i="29"/>
  <c r="M209" i="29"/>
  <c r="M384" i="29"/>
  <c r="M630" i="29"/>
  <c r="M843" i="29"/>
  <c r="M571" i="29"/>
  <c r="M59" i="29"/>
  <c r="M242" i="29"/>
  <c r="M652" i="29"/>
  <c r="M813" i="29"/>
  <c r="M60" i="29"/>
  <c r="M444" i="29"/>
  <c r="M675" i="29"/>
  <c r="M761" i="29"/>
  <c r="M744" i="29"/>
  <c r="M745" i="29"/>
  <c r="M199" i="29"/>
  <c r="M174" i="29"/>
  <c r="M192" i="29"/>
  <c r="M750" i="29"/>
  <c r="M743" i="29"/>
  <c r="M488" i="29"/>
  <c r="M517" i="29"/>
  <c r="M43" i="29"/>
  <c r="M523" i="29"/>
  <c r="M747" i="29"/>
  <c r="M749" i="29"/>
  <c r="M88" i="29"/>
  <c r="M809" i="29"/>
  <c r="M834" i="29"/>
  <c r="M113" i="29"/>
  <c r="M754" i="29"/>
  <c r="M196" i="29"/>
  <c r="M544" i="29"/>
  <c r="M577" i="29"/>
  <c r="M127" i="29"/>
  <c r="M736" i="29"/>
  <c r="M742" i="29"/>
  <c r="M735" i="29"/>
  <c r="M703" i="29"/>
  <c r="M733" i="29"/>
  <c r="M197" i="29"/>
  <c r="M751" i="29"/>
  <c r="M755" i="29"/>
  <c r="M126" i="29"/>
  <c r="M746" i="29"/>
  <c r="M64" i="29"/>
  <c r="M176" i="29"/>
  <c r="M819" i="29"/>
  <c r="M477" i="29"/>
  <c r="M508" i="29"/>
  <c r="M539" i="29"/>
  <c r="M702" i="29"/>
  <c r="M732" i="29"/>
  <c r="M818" i="29"/>
  <c r="M741" i="29"/>
  <c r="M191" i="29"/>
  <c r="M576" i="29"/>
  <c r="M173" i="29"/>
  <c r="M112" i="29"/>
  <c r="M23" i="29"/>
  <c r="M22" i="29"/>
  <c r="M697" i="29"/>
  <c r="M728" i="29"/>
  <c r="J269" i="37" l="1"/>
  <c r="D269" i="37" s="1"/>
  <c r="M269" i="37"/>
  <c r="J270" i="37"/>
  <c r="D270" i="37" s="1"/>
  <c r="M270" i="37"/>
  <c r="J273" i="37"/>
  <c r="D273" i="37" s="1"/>
  <c r="M273" i="37"/>
  <c r="J274" i="37"/>
  <c r="D274" i="37" s="1"/>
  <c r="J275" i="37"/>
  <c r="D275" i="37" s="1"/>
  <c r="M275" i="37"/>
  <c r="J276" i="37"/>
  <c r="D276" i="37" s="1"/>
  <c r="M276" i="37"/>
  <c r="J277" i="37"/>
  <c r="D277" i="37" s="1"/>
  <c r="M277" i="37"/>
  <c r="J278" i="37"/>
  <c r="D278" i="37" s="1"/>
  <c r="J279" i="37"/>
  <c r="D279" i="37" s="1"/>
  <c r="M279" i="37"/>
  <c r="J280" i="37"/>
  <c r="D280" i="37" s="1"/>
  <c r="M280" i="37"/>
  <c r="J281" i="37"/>
  <c r="D281" i="37" s="1"/>
  <c r="M281" i="37"/>
  <c r="J282" i="37"/>
  <c r="D282" i="37" s="1"/>
  <c r="J283" i="37"/>
  <c r="D283" i="37" s="1"/>
  <c r="M283" i="37"/>
  <c r="J284" i="37"/>
  <c r="D284" i="37" s="1"/>
  <c r="M284" i="37"/>
  <c r="J285" i="37"/>
  <c r="D285" i="37" s="1"/>
  <c r="M285" i="37"/>
  <c r="J286" i="37"/>
  <c r="D286" i="37" s="1"/>
  <c r="J287" i="37"/>
  <c r="D287" i="37" s="1"/>
  <c r="M287" i="37"/>
  <c r="J288" i="37"/>
  <c r="D288" i="37" s="1"/>
  <c r="M288" i="37"/>
  <c r="J289" i="37"/>
  <c r="D289" i="37" s="1"/>
  <c r="M289" i="37"/>
  <c r="J290" i="37"/>
  <c r="D290" i="37" s="1"/>
  <c r="J291" i="37"/>
  <c r="D291" i="37" s="1"/>
  <c r="M291" i="37"/>
  <c r="J292" i="37"/>
  <c r="D292" i="37" s="1"/>
  <c r="M292" i="37"/>
  <c r="J293" i="37"/>
  <c r="D293" i="37" s="1"/>
  <c r="M293" i="37"/>
  <c r="J296" i="37"/>
  <c r="D296" i="37" s="1"/>
  <c r="J297" i="37"/>
  <c r="D297" i="37" s="1"/>
  <c r="M297" i="37"/>
  <c r="J298" i="37"/>
  <c r="D298" i="37" s="1"/>
  <c r="M298" i="37"/>
  <c r="J299" i="37"/>
  <c r="D299" i="37" s="1"/>
  <c r="M299" i="37"/>
  <c r="J300" i="37"/>
  <c r="D300" i="37" s="1"/>
  <c r="J301" i="37"/>
  <c r="D301" i="37" s="1"/>
  <c r="M301" i="37"/>
  <c r="J302" i="37"/>
  <c r="D302" i="37" s="1"/>
  <c r="M302" i="37"/>
  <c r="J303" i="37"/>
  <c r="D303" i="37" s="1"/>
  <c r="M303" i="37"/>
  <c r="J304" i="37"/>
  <c r="D304" i="37" s="1"/>
  <c r="J305" i="37"/>
  <c r="M305" i="37" s="1"/>
  <c r="J306" i="37"/>
  <c r="D306" i="37" s="1"/>
  <c r="M306" i="37"/>
  <c r="D305" i="37" l="1"/>
  <c r="M304" i="37"/>
  <c r="M300" i="37"/>
  <c r="M296" i="37"/>
  <c r="M290" i="37"/>
  <c r="M286" i="37"/>
  <c r="M282" i="37"/>
  <c r="M278" i="37"/>
  <c r="M274" i="37"/>
  <c r="D23" i="37"/>
  <c r="E23" i="37"/>
  <c r="J23" i="37"/>
  <c r="K23" i="37"/>
  <c r="M23" i="37"/>
  <c r="N23" i="37"/>
  <c r="O23" i="37"/>
  <c r="P23" i="37"/>
  <c r="D24" i="37"/>
  <c r="E24" i="37"/>
  <c r="J24" i="37"/>
  <c r="K24" i="37"/>
  <c r="M24" i="37"/>
  <c r="N24" i="37"/>
  <c r="O24" i="37"/>
  <c r="P24" i="37"/>
  <c r="D25" i="37"/>
  <c r="E25" i="37"/>
  <c r="J25" i="37"/>
  <c r="K25" i="37"/>
  <c r="M25" i="37"/>
  <c r="N25" i="37"/>
  <c r="O25" i="37"/>
  <c r="P25" i="37"/>
  <c r="D26" i="37"/>
  <c r="E26" i="37"/>
  <c r="J26" i="37"/>
  <c r="K26" i="37"/>
  <c r="M26" i="37"/>
  <c r="N26" i="37"/>
  <c r="O26" i="37"/>
  <c r="P26" i="37"/>
  <c r="D27" i="37"/>
  <c r="E27" i="37"/>
  <c r="J27" i="37"/>
  <c r="K27" i="37"/>
  <c r="M27" i="37"/>
  <c r="N27" i="37"/>
  <c r="O27" i="37"/>
  <c r="P27" i="37"/>
  <c r="D28" i="37"/>
  <c r="E28" i="37"/>
  <c r="J28" i="37"/>
  <c r="K28" i="37"/>
  <c r="M28" i="37"/>
  <c r="N28" i="37"/>
  <c r="O28" i="37"/>
  <c r="P28" i="37"/>
  <c r="D29" i="37"/>
  <c r="E29" i="37"/>
  <c r="J29" i="37"/>
  <c r="K29" i="37"/>
  <c r="M29" i="37"/>
  <c r="N29" i="37"/>
  <c r="O29" i="37"/>
  <c r="P29" i="37"/>
  <c r="D30" i="37"/>
  <c r="E30" i="37"/>
  <c r="J30" i="37"/>
  <c r="K30" i="37"/>
  <c r="M30" i="37"/>
  <c r="N30" i="37"/>
  <c r="O30" i="37"/>
  <c r="P30" i="37"/>
  <c r="D31" i="37"/>
  <c r="E31" i="37"/>
  <c r="J31" i="37"/>
  <c r="K31" i="37"/>
  <c r="M31" i="37"/>
  <c r="N31" i="37"/>
  <c r="O31" i="37"/>
  <c r="P31" i="37"/>
  <c r="D145" i="37"/>
  <c r="E145" i="37"/>
  <c r="J145" i="37"/>
  <c r="K145" i="37"/>
  <c r="M145" i="37"/>
  <c r="N145" i="37"/>
  <c r="O145" i="37"/>
  <c r="P145" i="37"/>
  <c r="D156" i="37"/>
  <c r="E156" i="37"/>
  <c r="J156" i="37"/>
  <c r="K156" i="37"/>
  <c r="M156" i="37"/>
  <c r="N156" i="37"/>
  <c r="O156" i="37"/>
  <c r="P156" i="37"/>
  <c r="D162" i="37"/>
  <c r="E162" i="37"/>
  <c r="F162" i="37"/>
  <c r="J162" i="37"/>
  <c r="K162" i="37"/>
  <c r="L162" i="37"/>
  <c r="M162" i="37"/>
  <c r="N162" i="37"/>
  <c r="O162" i="37"/>
  <c r="P162" i="37"/>
</calcChain>
</file>

<file path=xl/sharedStrings.xml><?xml version="1.0" encoding="utf-8"?>
<sst xmlns="http://schemas.openxmlformats.org/spreadsheetml/2006/main" count="7802" uniqueCount="2361">
  <si>
    <t>UNID.</t>
  </si>
  <si>
    <t>kg</t>
  </si>
  <si>
    <t>m</t>
  </si>
  <si>
    <t>un</t>
  </si>
  <si>
    <t>SERVIÇO:</t>
  </si>
  <si>
    <t>UNIDADE:</t>
  </si>
  <si>
    <t>1 - MÃO DE OBRA</t>
  </si>
  <si>
    <t>DESCRIÇÃO</t>
  </si>
  <si>
    <t xml:space="preserve">TOTAL DE MÃO DE OBRA  ( A ) </t>
  </si>
  <si>
    <t>2 - MATERIAIS</t>
  </si>
  <si>
    <t>CONSUMO</t>
  </si>
  <si>
    <t>PREÇO UNITÁRIO                                                       ( R$ )</t>
  </si>
  <si>
    <t>TOTAL                                                                          ( R$ )</t>
  </si>
  <si>
    <t xml:space="preserve">TOTAL DE MATERIAIS  ( B ) </t>
  </si>
  <si>
    <t>3 - EQUIPAMENTOS</t>
  </si>
  <si>
    <t>TOTAL DE EQUIPAMENTO ( C )</t>
  </si>
  <si>
    <t>TOTAL = A+B+C</t>
  </si>
  <si>
    <t>B.D.I.</t>
  </si>
  <si>
    <t xml:space="preserve">PREÇO UNITÁRIO DO SERVIÇO ( R$ )   </t>
  </si>
  <si>
    <t>ITEM</t>
  </si>
  <si>
    <t>1.1</t>
  </si>
  <si>
    <t>1.2</t>
  </si>
  <si>
    <t>2.1</t>
  </si>
  <si>
    <t>pç</t>
  </si>
  <si>
    <t>mês</t>
  </si>
  <si>
    <t>COMPOSIÇÃO DE PREÇO UNITÁRIO</t>
  </si>
  <si>
    <t>cj</t>
  </si>
  <si>
    <t>QUANT.</t>
  </si>
  <si>
    <t>TOTAL</t>
  </si>
  <si>
    <t>FONTE/ORIGEM</t>
  </si>
  <si>
    <t>UN</t>
  </si>
  <si>
    <t>SINAPI</t>
  </si>
  <si>
    <t>MAPA DE COTAÇÃO</t>
  </si>
  <si>
    <t xml:space="preserve">Elaborado por: </t>
  </si>
  <si>
    <t>Empresa:</t>
  </si>
  <si>
    <t>Contato:</t>
  </si>
  <si>
    <t>Telefone:</t>
  </si>
  <si>
    <t>Data do Orç.:</t>
  </si>
  <si>
    <t>QDE</t>
  </si>
  <si>
    <t>Empresa</t>
  </si>
  <si>
    <t>VALOR MÉDIO UNITÁRIO</t>
  </si>
  <si>
    <t>PREÇO 
UNIT</t>
  </si>
  <si>
    <t>OBSERVAÇÕES</t>
  </si>
  <si>
    <t>EMPREENDIMENTO:</t>
  </si>
  <si>
    <t>SUBTOTAL</t>
  </si>
  <si>
    <t>BASE:</t>
  </si>
  <si>
    <t>CÓDIGO:</t>
  </si>
  <si>
    <t>Data Base:</t>
  </si>
  <si>
    <t>h</t>
  </si>
  <si>
    <t>Pedreiro com encargos complementares</t>
  </si>
  <si>
    <t>Ajudante de carpinteiro com encargos complementares</t>
  </si>
  <si>
    <t>Auxiliar de encanador ou bombeiro hidráulico com encargos complementares</t>
  </si>
  <si>
    <t>Azulejista ou ladrilhista com encargos complementares</t>
  </si>
  <si>
    <t>Carpinteiro de esquadria com encargos complementares</t>
  </si>
  <si>
    <t>Carpinteiro de formas com encargos complementares</t>
  </si>
  <si>
    <t>Encanador ou bombeiro hidráulico com encargos complementares</t>
  </si>
  <si>
    <t>Servente com encargos complementares</t>
  </si>
  <si>
    <t>m2</t>
  </si>
  <si>
    <t>m3</t>
  </si>
  <si>
    <t>DATA BASE::</t>
  </si>
  <si>
    <t>CLIENTE:</t>
  </si>
  <si>
    <t>ELABORADO:</t>
  </si>
  <si>
    <t>Piffer</t>
  </si>
  <si>
    <t>INSUMOS SINAPI</t>
  </si>
  <si>
    <t>l</t>
  </si>
  <si>
    <t>PISOS</t>
  </si>
  <si>
    <t>CÓDIGO</t>
  </si>
  <si>
    <t>%</t>
  </si>
  <si>
    <t>BASE</t>
  </si>
  <si>
    <t>DESCRIÇÃO DOS SERVIÇOS</t>
  </si>
  <si>
    <t>1.3</t>
  </si>
  <si>
    <t>1.4</t>
  </si>
  <si>
    <t>1.5</t>
  </si>
  <si>
    <t>CANTEIRO DE OBRAS</t>
  </si>
  <si>
    <t>Estimativa</t>
  </si>
  <si>
    <t>ADMINISTRAÇÃO LOCAL</t>
  </si>
  <si>
    <t>CFTV</t>
  </si>
  <si>
    <t>Almoxarife com encargos complementares</t>
  </si>
  <si>
    <t>SUB TOTAL</t>
  </si>
  <si>
    <t>M. O.</t>
  </si>
  <si>
    <t>EQTO.</t>
  </si>
  <si>
    <t>MAT. / SERV.</t>
  </si>
  <si>
    <t>ENCARGOS SOCIAIS SOBRE PREÇOS DA MÃO-DE-OBRA: 113,60%(HORA)   70,53%(MÊS)</t>
  </si>
  <si>
    <t>DESCRICAO DA COMPOSICAO</t>
  </si>
  <si>
    <t>SINAPI   PCI.818.01 - CUSTOS DE COMPOSIÇÕES ANALÍTICO   DATA DE EMISSÃO:15/03/2022 01:08:34   DATA DE RT: 14/03/2022</t>
  </si>
  <si>
    <t>ABRANGENCIA: NACIONAL / DATA REFERENCIA TECNICA: 14/03/2022 / LOCALIDADE: RJ / DATA PREÇO: 02/2022</t>
  </si>
  <si>
    <t>ÓRGÃO</t>
  </si>
  <si>
    <t>CUSTOS DATA</t>
  </si>
  <si>
    <t>M O</t>
  </si>
  <si>
    <t>MAT</t>
  </si>
  <si>
    <t>EQTOS</t>
  </si>
  <si>
    <t>COD COMPOSICAO</t>
  </si>
  <si>
    <t>MAT.</t>
  </si>
  <si>
    <t>EQTO / SERV</t>
  </si>
  <si>
    <t>impermeabilização de floreira ou viga baldrame com argamassa de cimento e areia, com aditivo impermeabilizante, e = 2 cm. af_06/2018</t>
  </si>
  <si>
    <t>txkm</t>
  </si>
  <si>
    <t>engenheiro civil de obra pleno com encargos complementares</t>
  </si>
  <si>
    <t>engenheiro civil de obra senior com encargos complementares</t>
  </si>
  <si>
    <t>INFORMATIVO SBC</t>
  </si>
  <si>
    <t>SBC / RJ</t>
  </si>
  <si>
    <t>SINAPI / RJ</t>
  </si>
  <si>
    <t xml:space="preserve">UN    </t>
  </si>
  <si>
    <t xml:space="preserve">KG    </t>
  </si>
  <si>
    <t xml:space="preserve">L     </t>
  </si>
  <si>
    <t>FACC - FUNDAÇÃO DE APOIO AO DESENVOLVIMENTO DA COMPUTAÇÃO CIENTÍFICA</t>
  </si>
  <si>
    <t>CENTRO DE REFERÊNCIA EM GEOCIÊNCIAS</t>
  </si>
  <si>
    <t>Avenida Pasteur, 404 - Urca - Rio de Janeiro / RJ</t>
  </si>
  <si>
    <t>PLANILHA ORÇAMENTÁRIA</t>
  </si>
  <si>
    <t>FACC</t>
  </si>
  <si>
    <t>CPU´S FACC</t>
  </si>
  <si>
    <t>PREÇO UNITÁRIO</t>
  </si>
  <si>
    <t xml:space="preserve">SUB TOTAL </t>
  </si>
  <si>
    <t>COEF</t>
  </si>
  <si>
    <t>LS:</t>
  </si>
  <si>
    <t>MO</t>
  </si>
  <si>
    <t>EQTO</t>
  </si>
  <si>
    <t>UN:</t>
  </si>
  <si>
    <r>
      <t xml:space="preserve">ENCARGOS SOCIAIS: </t>
    </r>
    <r>
      <rPr>
        <sz val="10"/>
        <color rgb="FFFF0000"/>
        <rFont val="Arial"/>
        <family val="2"/>
      </rPr>
      <t>(incluso)</t>
    </r>
  </si>
  <si>
    <t>Auxiliar técnico / Assistente de engenharia com encargos complementares</t>
  </si>
  <si>
    <t>Engenheiro civil de obra senior com encargos complementares</t>
  </si>
  <si>
    <t>Engenheiro civil de obra pleno com encargos complementares</t>
  </si>
  <si>
    <t>Mestre de obras com encargos complementares</t>
  </si>
  <si>
    <t>Encarregado geral de obras com encargos complementares</t>
  </si>
  <si>
    <t>Auxiliar de escritorio com encargos complementares</t>
  </si>
  <si>
    <t>Técnico em segurança do trabalho com encargos complementares</t>
  </si>
  <si>
    <t>Vigia noturno com encargos complementares</t>
  </si>
  <si>
    <t>Técnico de edificações com encargos complementares</t>
  </si>
  <si>
    <t>1.6</t>
  </si>
  <si>
    <t>1.7</t>
  </si>
  <si>
    <t>1.8</t>
  </si>
  <si>
    <t>1.9</t>
  </si>
  <si>
    <t>1.10</t>
  </si>
  <si>
    <t>COMP 001</t>
  </si>
  <si>
    <t>CDHU</t>
  </si>
  <si>
    <t>Projeto de implementação de gerenciamento integrado de resíduos sólidos e gestão de perdas</t>
  </si>
  <si>
    <t>SBC</t>
  </si>
  <si>
    <t>A.02.000.070107</t>
  </si>
  <si>
    <t>Impressão colorida em papel sulfite A4</t>
  </si>
  <si>
    <t>A.02.000.070108</t>
  </si>
  <si>
    <t>Encadernação espiral até 100 folhas</t>
  </si>
  <si>
    <t>IMPLANTAÇÃO</t>
  </si>
  <si>
    <t>Obs.: considerada a composição CDHU com custos SINAPI</t>
  </si>
  <si>
    <t>INSUMOS SBC</t>
  </si>
  <si>
    <t>COTAÇÕES</t>
  </si>
  <si>
    <t>COT 001</t>
  </si>
  <si>
    <t>COT 002</t>
  </si>
  <si>
    <t>COT 003</t>
  </si>
  <si>
    <t>COT 004</t>
  </si>
  <si>
    <t>COT 005</t>
  </si>
  <si>
    <t>COT 006</t>
  </si>
  <si>
    <t>COT 007</t>
  </si>
  <si>
    <t>COT 008</t>
  </si>
  <si>
    <t>COT 009</t>
  </si>
  <si>
    <t>COT 010</t>
  </si>
  <si>
    <t>COT 011</t>
  </si>
  <si>
    <t>COT 012</t>
  </si>
  <si>
    <t>COT 013</t>
  </si>
  <si>
    <t>COT 014</t>
  </si>
  <si>
    <t>COT 015</t>
  </si>
  <si>
    <t>COT 016</t>
  </si>
  <si>
    <t>COT 017</t>
  </si>
  <si>
    <t>COT 018</t>
  </si>
  <si>
    <t>COT 019</t>
  </si>
  <si>
    <t>COT 020</t>
  </si>
  <si>
    <t>COT 021</t>
  </si>
  <si>
    <t>COT 022</t>
  </si>
  <si>
    <t>COT 023</t>
  </si>
  <si>
    <t>COT 024</t>
  </si>
  <si>
    <t>COTAÇÃO</t>
  </si>
  <si>
    <t>Instalações provisórias de água, luz, força e esgoto</t>
  </si>
  <si>
    <t>Placa de obra em chapa galvanizada #26, 3,00 x 1,50 m</t>
  </si>
  <si>
    <t>Despesas gerais de manutenção do canteiro de obras</t>
  </si>
  <si>
    <t>Mobilização e desmobilização de canteiro de obras</t>
  </si>
  <si>
    <t>Equipamentos</t>
  </si>
  <si>
    <t>Locação de caçamba para entulho gerado durante a obra</t>
  </si>
  <si>
    <t>Documentação</t>
  </si>
  <si>
    <t>DEMOLIÇÕES E RETIRADAS</t>
  </si>
  <si>
    <t>Carga, manobra e descarga de entulho em caminhão basculante 10 m³ - carga com escavadeira hidráulica  (caçamba de 0,80 m³ / 111 hp) e descarga livre (unidade: m3). af_07/2020</t>
  </si>
  <si>
    <t>FUNDAÇÕES PROFUNDAS</t>
  </si>
  <si>
    <t>INFRAESTRUTURA</t>
  </si>
  <si>
    <t>FUNDAÇÕES RASAS</t>
  </si>
  <si>
    <t>Movimento de terra</t>
  </si>
  <si>
    <t>Armação de bloco, viga baldrame e sapata utilizando aço ca-60 de 5 mm - montagem. af_06/2017</t>
  </si>
  <si>
    <t>Locacao convencional de obra, utilizando gabarito de tábuas corridas pontaletadas a cada 2,00m -  2 utilizações. af_10/2018</t>
  </si>
  <si>
    <t>SUPERESTRUTURA</t>
  </si>
  <si>
    <t>ESTRUTURA EM CONCRETO ARMADO IN LOCO</t>
  </si>
  <si>
    <t>Armação em aço CA-50 10,0 mm incluindo corte, dobra e colocação em formas</t>
  </si>
  <si>
    <t>Armação em aço CA-50 12,5 mm incluindo corte, dobra e colocação em formas</t>
  </si>
  <si>
    <t>Armação em aço CA-50 16,0 mm incluindo corte, dobra e colocação em formas</t>
  </si>
  <si>
    <t>Armação em aço CA-50 20,0 mm incluindo corte, dobra e colocação em formas</t>
  </si>
  <si>
    <t>Armação em aço CA-50 25,0 mm incluindo corte, dobra e colocação em formas</t>
  </si>
  <si>
    <t>Armação em aço CA-50 6,3 mm incluindo corte, dobra e colocação em formas</t>
  </si>
  <si>
    <t>Armação em aço CA-50 8,0 mm incluindo corte, dobra e colocação em formas</t>
  </si>
  <si>
    <t>Armação em aço CA-60 5,0 mm incluindo corte, dobra e colocação em formas</t>
  </si>
  <si>
    <t>ESTRUTURA METÁLICA</t>
  </si>
  <si>
    <t>ESTRUTURA PRÉ MOLDADA EM CONCRETO ARMADO</t>
  </si>
  <si>
    <t>Locação de container escritório com isolamento térmico e sanitário</t>
  </si>
  <si>
    <t>Locação de container refeitório com isolamento térmico</t>
  </si>
  <si>
    <t>Locação de aparelho de ar condicionado de janela 17.500 BTUs para container</t>
  </si>
  <si>
    <t>Taxa de entrega para container</t>
  </si>
  <si>
    <t>Taxa de retirada para container</t>
  </si>
  <si>
    <t>Locação de containeres</t>
  </si>
  <si>
    <t>RENTCON</t>
  </si>
  <si>
    <t>DÉBORA</t>
  </si>
  <si>
    <t>(21) 3659-3359</t>
  </si>
  <si>
    <t>COT 025</t>
  </si>
  <si>
    <t>Locação de container vestiário</t>
  </si>
  <si>
    <t>Locação de container sanitário com seis chuveiros, um mictório, três vasos sanitários e três lavatórios</t>
  </si>
  <si>
    <t>RIO BOX</t>
  </si>
  <si>
    <t>ELLEN</t>
  </si>
  <si>
    <t>(21) 2018-4880</t>
  </si>
  <si>
    <t>Locação de container almoxarifado</t>
  </si>
  <si>
    <t>CONT RIO</t>
  </si>
  <si>
    <t>LÚCIO</t>
  </si>
  <si>
    <t>(21) 3069-0050</t>
  </si>
  <si>
    <t>CONTÊINER RIO</t>
  </si>
  <si>
    <t>(21) 2270-5921</t>
  </si>
  <si>
    <t>PAULO</t>
  </si>
  <si>
    <t>ESTAQUEAMENTO</t>
  </si>
  <si>
    <t>Estacas tipo raiz</t>
  </si>
  <si>
    <t>TENGEL</t>
  </si>
  <si>
    <t>DJALMA</t>
  </si>
  <si>
    <t>(21) 2595-7520</t>
  </si>
  <si>
    <t>Taxa de mobilização para equipamento de estaca raiz</t>
  </si>
  <si>
    <r>
      <t xml:space="preserve">Execução de estaca raiz </t>
    </r>
    <r>
      <rPr>
        <sz val="10"/>
        <rFont val="Calibri"/>
        <family val="2"/>
      </rPr>
      <t>Ø</t>
    </r>
    <r>
      <rPr>
        <sz val="10"/>
        <rFont val="Arial"/>
        <family val="2"/>
      </rPr>
      <t xml:space="preserve"> 250 mm em terra</t>
    </r>
  </si>
  <si>
    <r>
      <t xml:space="preserve">Execução de estaca raiz </t>
    </r>
    <r>
      <rPr>
        <sz val="10"/>
        <rFont val="Calibri"/>
        <family val="2"/>
      </rPr>
      <t>Ø</t>
    </r>
    <r>
      <rPr>
        <sz val="10"/>
        <rFont val="Arial"/>
        <family val="2"/>
      </rPr>
      <t xml:space="preserve"> 310 mm em terra</t>
    </r>
  </si>
  <si>
    <t>GEOFIX</t>
  </si>
  <si>
    <t>(21) 2524-7812</t>
  </si>
  <si>
    <t>LYDIO</t>
  </si>
  <si>
    <t>MANOEL</t>
  </si>
  <si>
    <t>Prova de carga estática</t>
  </si>
  <si>
    <t>BRAS CONTEC</t>
  </si>
  <si>
    <t>EVALDO</t>
  </si>
  <si>
    <t>(27) 3337-2845</t>
  </si>
  <si>
    <t>WYDE</t>
  </si>
  <si>
    <t>LUIZ ANDRÉ</t>
  </si>
  <si>
    <t>(11) 5588-0969</t>
  </si>
  <si>
    <t>CEDRO</t>
  </si>
  <si>
    <t>TESTGEO</t>
  </si>
  <si>
    <t>(11) 9.4157-1451</t>
  </si>
  <si>
    <t>(31) 3213-1955</t>
  </si>
  <si>
    <t>Mobilização e desmobilização de equipe e equipamentos para execução de prova de carga em estacas</t>
  </si>
  <si>
    <t>Elaboração de projeto de prova de carga</t>
  </si>
  <si>
    <t>Execução de prova de carga em estaca raiz incluindo ART, PPRA e PCMSO</t>
  </si>
  <si>
    <t>Mobilização e desmobilização de equipamentos para rebaixamento de lençol freático</t>
  </si>
  <si>
    <t>Montagem e instalação de ponteiro filtrante à vácuo com até 5,00 m</t>
  </si>
  <si>
    <t>Operação para até 3 conjuntos de rebaixamento incluindo manutenção e monitoramento</t>
  </si>
  <si>
    <t>dia</t>
  </si>
  <si>
    <t>FUNDAÇÕES</t>
  </si>
  <si>
    <t>3.1</t>
  </si>
  <si>
    <t>Rebaixamento de lençol freático</t>
  </si>
  <si>
    <t>SOLOTRAT</t>
  </si>
  <si>
    <t>PEDRO</t>
  </si>
  <si>
    <t>(11) 5034-7000</t>
  </si>
  <si>
    <t>SOLOCONSULT</t>
  </si>
  <si>
    <t>(13) 3209-7600</t>
  </si>
  <si>
    <t>MURILO</t>
  </si>
  <si>
    <t>INCLUSO</t>
  </si>
  <si>
    <t>MJ PERFURA SOLO</t>
  </si>
  <si>
    <t>(21) 2645-0360</t>
  </si>
  <si>
    <t>NHJ</t>
  </si>
  <si>
    <t>(21) 3094-4421</t>
  </si>
  <si>
    <t>CLÁUDIA</t>
  </si>
  <si>
    <t>RIMENCO</t>
  </si>
  <si>
    <t>(13) 3566-1243</t>
  </si>
  <si>
    <t>JOAQUIM</t>
  </si>
  <si>
    <t>prazo</t>
  </si>
  <si>
    <t>un/mês</t>
  </si>
  <si>
    <t>Reservatório em fibra de video capacidade 5000 l para contenção de lama proveniente das estacas</t>
  </si>
  <si>
    <t>Piso estrutural</t>
  </si>
  <si>
    <t>Grade eletrofundida em placas 1386 x 3000x 25 mm modelo E-42A da Metalgrade ou equivalente</t>
  </si>
  <si>
    <t>ALVENARIAS E PAINÉIS DIVISÓRIOS</t>
  </si>
  <si>
    <t>ALVENARIA EM BLOCOS DE CONCRETO ESTRUTURAL</t>
  </si>
  <si>
    <t>ALVENARIA EM BLOCOS DE CONCRETO VEDAÇÃO</t>
  </si>
  <si>
    <t>PAINÉIS DIVISÓRIOS EM GESSO</t>
  </si>
  <si>
    <t>DIVISÓRIAS SANITÁRIAS</t>
  </si>
  <si>
    <t>Tapa vista em painéis de laminado estrutural TS com acabamento dupla face na cor branca, com prateleira superior, referência Neocom ou equivalente</t>
  </si>
  <si>
    <t>IMPERMEABILIZAÇÕES</t>
  </si>
  <si>
    <t>BLOCOS, BALDRAMES E ALVENARIA DE EMBASAMENTO</t>
  </si>
  <si>
    <t>Pintura com tinta betuminosa</t>
  </si>
  <si>
    <t>ÁREAS DE SUBPRESSÃO</t>
  </si>
  <si>
    <t>LAJES</t>
  </si>
  <si>
    <t>PISOS FRIOS</t>
  </si>
  <si>
    <t>ESQUADRIAS</t>
  </si>
  <si>
    <t>ESQUADRIAS DE MADEIRA</t>
  </si>
  <si>
    <t>P-15 - Porta em laminado estrutural TS para box sanitário, dimensões 0,80 x 1,80 m</t>
  </si>
  <si>
    <t>ESQUADRIAS DE ALUMÍNIO</t>
  </si>
  <si>
    <t>CA-01 - Caixilho fixo com dimensão de 3,00 x 7,80 m e acabamento em pintura eletrostática na cor vermelha e vidros laminados 8 mm contendo 4 requadros de caixilhos basculantes (pivo central) com dimensão de 0,54 x 1,10 m</t>
  </si>
  <si>
    <t>CA-01A - Caixilho fixo com dimensão de 3,00 x 7,80 m e acabamento em pintura eletrostática na cor vermelha e vidros laminados 8 mm contendo 4 requadros de caixilhos basculantes (pivo central) com dimensão de 0,54 x 1,10 m (Vidro serigrafado na cor branca conforme desenho de arquitetura)</t>
  </si>
  <si>
    <t>CA-02 - Caixilho fixo com dimensão de 3,00 x 7,80 m e acabamento em pintura eletrostática na cor vermelha e vidros laminados 8 mm contendo 4 requadros de caixilhos basculantes (pivo central) com dimensão de 0,54 x 1,10 m</t>
  </si>
  <si>
    <t xml:space="preserve">CA-02A - Caixilho fixo com dimensão de 3,00 x 7,80 m e acabamento em pintura eletrostática na cor vermelha e vidros laminados 8 mm contendo 4 requadros de caixilhos basculantes (pivo central) com dimensão de 0,54 x 1,10 m  (Vidro serigrafado na cor branca conforme desenho de arquitetura) </t>
  </si>
  <si>
    <t>CA-03 - Caixilho fixo com dimensão de 3,00 x 3,39 m e acabamento em pintura eletrostática na cor vermelha e vidros laminados 8 mm contendo 1 requadro de caixilho basculante (pivo central) com dimensão de 0,54 x 1,10 m</t>
  </si>
  <si>
    <t>CA-04 - Caixilho fixo com veneziana (ventilação 100%) com dimensão de 3,00 x 1,97 m e acabamento em pintura eletrostática na cor vermelha em perfil de aluminio e bandeira lateral e superior fixa em chapa de alumínio integral de 1,5 mm</t>
  </si>
  <si>
    <t>CA-05 - Caixilho fixo com dimensão de 3,00 x 7,80 m e acabamento em pintura eletrostática na cor vermelha e vidros laminados 8 mm contendo 4 requadros de caixilhos basculantes (pivo central) com dimensão de 0,54 x 1,10 m</t>
  </si>
  <si>
    <t>CA-05A - Caixilho fixo com dimensão de 3,00 x 7,80 m e acabamento em pintura eletrostática na cor vermelha e vidros laminados 8 mm contendo 4 requadros de caixilhos basculantes (pivo central) com dimensão de 0,54 x 1,10 m (Vidro serigrafado na cor branca conforme desenho de arquitetura)</t>
  </si>
  <si>
    <t>CA-06 - Caixilho fixo com dimensão de 3,00 x 7,80 m e acabamento em pintura eletrostática na cor vermelha e vidros laminados 8 mm contendo 4 requadros de caixilhos basculantes (pivo central) com dimensão de 0,54 x 1,10 m</t>
  </si>
  <si>
    <t>CA-06A - Caixilho fixo com dimensão de 3,00 x 7,80 m e acabamento em pintura eletrostática na cor vermelha e vidros laminados 8 mm contendo 4 requadros de caixilhos basculantes (pivo central) com dimensão de 0,54 x 1,10 m (Vidro serigrafado na cor branca conforme desenho de arquitetura)</t>
  </si>
  <si>
    <t>CA-07 - Caixilho de correr (com 3 folhas), dimensão de 3,43 x 7,58 m e acabamento em pintura eletrostática na cor vermelha e vidros laminados 8 mm com bandeira fixa superior em chapa de alumínio integral de 1,5mm, contendo dois puxadores (Ref.: Udinese - Linha Linea) na mesma cor do caixilho</t>
  </si>
  <si>
    <t>CA-07A - Caixilho de correr (com 2 folhas), dimensão de 3,43 x 7,41 m e acabamento em pintura eletrostática na cor vermelha e vidros laminados 8 mm com bandeira fixa superior em chapa de alumínio integral de 1,5 mm, contendo dois puxadores (Ref.: Udinese - Linha Linea) na mesma cor do caixilho. Prever estruturação de fechamento em alumínio para acabamento da alvenaria conforme desenho de arquitetura</t>
  </si>
  <si>
    <t>CA-10 - Caixilho fixo com dimensão de 1,93 x 3,12 m e acabamento em pintura eletrostática na cor vermelha e vidros laminados 6 mm contendo 1 requadro de caixilho basculante (pivo central) com dimensão de 0,54 x 1,10 m</t>
  </si>
  <si>
    <t>CA-11 - Caixilho fixo com dimensão de 1,93 x 3,12 m e acabamento em pintura eletrostática na cor vermelha e vidros laminados 6 mm contendo 1 requadro de caixilho basculante (pivo central) com dimensão de 0,54 x 1,10 m</t>
  </si>
  <si>
    <t>CA-12 - Caixilho fixo com veneziana (ventilação 100%) com dimensão de 2,06 x 0,60 m e acabamento em pintura eletrostática na cor vermelha em perfil de aluminio, com perfil cantoneira de alumínio para arremate na fixação em painel de concreto</t>
  </si>
  <si>
    <t>CA-13 - Caixilho de correr (com 4 folhas), dimensão de 3,00 x 7,85 m e acabamento em pintura eletrostática na cor vermelha e vidros laminados 8 mm contendo dois puxadores (Ref.: Udinese - Linha Linea) na mesma cor do caixilho</t>
  </si>
  <si>
    <t>CA-14 - Caixilho de correr (com 4 folhas), dimensão de 3,00 x 7,85 m e acabamento em pintura eletrostática na cor vermelha e vidros laminados 8 mm contendo dois puxadores (Ref.: Udinese - Linha Linea) na mesma cor do caixilho</t>
  </si>
  <si>
    <t>CA-15 - Caixilho (com 2 folhas de abrir), dimensão total de 3,00 x 2,80 m e acabamento em pintura eletrostática na cor vermelha e vidros laminados 8 mm com bandeira fixa superior e lateral, contendo dois puxadores (Ref.: Udinese - Linha Linea) na mesma cor do caixilho</t>
  </si>
  <si>
    <t>CA-16 - Caixilho fixo veneziana com dimensão de 1,80 x 1,80 m e acabamento em pintura eletrostática na cor vermelha instalado a 30 cm acima do nível do piso</t>
  </si>
  <si>
    <t>PELE DE VIDRO</t>
  </si>
  <si>
    <t>CA-08 - Caixilho tipo pele de vidro com seis portas duplas 2,00 x 2,20 m, em vidros laminados 10 mm, dimensões do conjunto 19,50 x 11,95 m</t>
  </si>
  <si>
    <t>CA-09 - Caixilho tipo pele de vidro com porta dupla pivotante, em vidros laminados 10 mm, dimensões 5,73 x 7,55 m</t>
  </si>
  <si>
    <t>ESQUADRIAS DE FERRO</t>
  </si>
  <si>
    <t>ESQUADRIAS DE VIDRO</t>
  </si>
  <si>
    <t>DIV-01 - Divisória em painel de vidro piso/teto com estrutura em alumínio anodizado fosco e vidro único laminado 10 mm, referência linha ABS 75 mm Light JS da Divdesign ou equivalente</t>
  </si>
  <si>
    <t>P-14 - Porta para divisória de vidro largura 0,82 m em vidro único laminado 10 mm, completa, folha única bandeira cadeirinha cega referência para linha ABS 75 mm Light JS da Divdesign ou equivalente</t>
  </si>
  <si>
    <t>INSTALAÇÕES ELÉTRICAS</t>
  </si>
  <si>
    <t>FIOS E CABOS</t>
  </si>
  <si>
    <t>Cabo multipolar 3x#1,5mm² HEPR 90°C - 0,6/1kV - LSOH baixa emissão de fumaça e livre de halogênio, veias nas cores preta, branca e verde</t>
  </si>
  <si>
    <t>Cabo isolado flexível de cobre com isolação em composto termoplástico com base poliolefínica não halogenada tipo LSZH (Low Smoke Zero Halogen) - 750 V - 70° C   #   6 mm²</t>
  </si>
  <si>
    <t>Cabo isolado flexível de cobre com isolação em composto termoplástico com base poliolefínica não halogenada tipo LSZH (Low Smoke Zero
Halogen) - 750 V - 70° C   #  10 mm²</t>
  </si>
  <si>
    <t>Cabo isolado flexível de cobre com isolação em composto termoplástico com base poliolefínica não halogenada tipo LSZH (Low Smoke Zero Halogen) - 750 V - 70° C   #  16 mm²</t>
  </si>
  <si>
    <t>Cabo isolado flexível de cobre com isolação em composto termoplástico com base poliolefínica não halogenada tipo LSZH (Low Smoke Zero
Halogen) - 750 V - 70° C   #  25 mm²</t>
  </si>
  <si>
    <t>Cabo isolado flexível de cobre com isolação em composto termoplástico com base poliolefínica não halogenada tipo LSZH (Low Smoke Zero Halogen) - 750 V - 70° C   #  35 mm²</t>
  </si>
  <si>
    <t>Cabo isolado flexível de cobre com isolação em composto termoplástico com base poliolefínica não halogenada tipo LSZH (Low Smoke Zero
Halogen) - 750 V - 70° C   #  240 mm²</t>
  </si>
  <si>
    <t>Cabo isolado flexível de cobre com isolação em HEPR e cobertura  em composto termoplástico com base poliolefínica não halogenada tipo LSZH
(Low Smoke Zero Halogen) - 0,6/1KV – 90° C   #   6 mm²</t>
  </si>
  <si>
    <t>Cabo isolado flexível de cobre com isolação em HEPR e cobertura  em composto termoplástico com base poliolefínica não halogenada tipo LSZH
(Low Smoke Zero Halogen) - 0,6/1KV -90° C   #  10 mm²</t>
  </si>
  <si>
    <t>Cabo isolado flexível de cobre com isolação em HEPR e cobertura  em composto termoplástico com base poliolefínica não halogenada tipo LSZH (Low Smoke Zero Halogen) - 0,6/1KV – 90° C   #  16 mm²</t>
  </si>
  <si>
    <t>Cabo isolado flexível de cobre com isolação em HEPR e cobertura  em composto termoplástico com base poliolefínica não halogenada tipo LSZH
(Low Smoke Zero Halogen) - 0,6/1KV – 90° C   #  25mm²</t>
  </si>
  <si>
    <t>Cabo isolado flexível de cobre com isolação  em HEPR e cobertura  em composto termoplástico com base poliolefínica não halogenada tipo LSZH
(Low Smoke Zero Halogen) - 0,6/1KV – 90° C   #  50 mm²</t>
  </si>
  <si>
    <t>Cabo isolado flexível de cobre com isolação em HEPR e cobertura  em composto termoplástico com base poliolefínica não halogenada tipo LSZH
(Low Smoke Zero Halogen) - 0,6/1KV – 90° C   #  95 mm²</t>
  </si>
  <si>
    <t>Cabo isolado flexível de cobre com isolação em HEPR e cobertura  em composto termoplástico com base poliolefínica não halogenada tipo LSZH (Low Smoke Zero Halogen) - 0,6/1KV – 90° C   #  240 mm²</t>
  </si>
  <si>
    <t>Eletroduto em aço galvanizado eletrolítico  Ø 3/4", inclusive conexões</t>
  </si>
  <si>
    <t>Eletroduto em aço galvanizado eletrolítico  Ø 1", inclusive conexões</t>
  </si>
  <si>
    <t>Eletroduto em aço galvanizado eletrolítico  Ø 1 1/2", inclusive conexões</t>
  </si>
  <si>
    <t>Eletroduto em aço galvanizado eletrolítico  Ø 2", inclusive conexões</t>
  </si>
  <si>
    <t>Eletroduto em aço galvanizado eletrolítico  Ø 3", inclusive conexões</t>
  </si>
  <si>
    <t>Eletroduto rígido roscável em PVC Ø 3/4", inclusive conexões</t>
  </si>
  <si>
    <t>Eletroduto rígido roscável em PVC Ø1", inclusive conexões</t>
  </si>
  <si>
    <t>Eletroduto rígido roscável em PVC Ø2", inclusive conexões</t>
  </si>
  <si>
    <t>Eletroduto de polietieno de alta densidade (PEAD) em forma espiral corrugada, com envelopamento em concreto Ø 2"</t>
  </si>
  <si>
    <t>ELETRODUTOS</t>
  </si>
  <si>
    <t>CAIXAS</t>
  </si>
  <si>
    <t>Caixa de ligação em PVC rígido para eletroduto roscável, 4"x 2", de embutir na parede</t>
  </si>
  <si>
    <t>Caixa de ligação em PVC rígido para eletroduto roscável, 4"x 4", de embutir na parede</t>
  </si>
  <si>
    <t>Caixa de passagem em chapa de aço/alumínio com tampa aparafusada - dimensões 10x10x8cm</t>
  </si>
  <si>
    <t>Caixa de passagem em chapa de aço/alumínio com tampa aparafusada - dimensões 15x15x10cm</t>
  </si>
  <si>
    <t>Caixa  passagem em alvenaria, com tampa de concreto e tampão de ferro e tela adicional para distribuição de rede de baixa tensão na dimensão de 80x80x80cm</t>
  </si>
  <si>
    <t>Caixa  passagem em alvenaria, com tampa de concreto e tampão de ferro e tela adicional para distribuição de rede de baixa tensão na dimensão de 40x40x40cm</t>
  </si>
  <si>
    <t>Eletrocalha lisa com tampa, em aço galvanizado, dimensões 100x100mm, inclusive curvas e conexões</t>
  </si>
  <si>
    <t>Eletrocalha lisa com tampa e septo, em aço galvanizado, dimensões 200x100mm, inclusive curvas e conexões</t>
  </si>
  <si>
    <t>Eletrocalha lisa com tampa e septo, em aço galvanizado, dimensões 300x100mm, inclusive curvas e conexões</t>
  </si>
  <si>
    <t>Perfilado liso em aço galvanizado eletrolítico, tipo reforçado, dimensões 38x38mm</t>
  </si>
  <si>
    <t>Tomada novo padrão brasileiro, de embutir, (2 P + T), 20A/240V,pino cilindrico 4 mm</t>
  </si>
  <si>
    <t>Tomada novo padrão brasileiro, de embutir, (2 P + T), 10A/240V,pino cilindrico 4 mm</t>
  </si>
  <si>
    <t>Tomada novo padrão brasileiro, de embutir, (2 P + T), 20A/240V,pino cilindrico 4 mm, cor vermelha para rede estabilizada</t>
  </si>
  <si>
    <t>Interruptor bipolar simples 10A/250V, 1 tecla</t>
  </si>
  <si>
    <t>Interruptor bipolar paralelo 10A/250V, 1 tecla</t>
  </si>
  <si>
    <t>Interruptor bipolar intermediário 10A/250V, 1 tecla</t>
  </si>
  <si>
    <t>Plugue macho e fêmea (2 P + T), 10A/250V</t>
  </si>
  <si>
    <t>Caixa perfilado aparafusada pré galvanizada com 1 tomada 2P+T padrão brasileiro</t>
  </si>
  <si>
    <t>Caixa para piso elevado com corpo em chapa de aço carbono bi-cromatizado, com caixilho e tampa basculante em alumínio fundido, dotada de supoetes para tomadas de energia e para voz e dados e furações para entrada de eletrodutos flexíveis</t>
  </si>
  <si>
    <t>LUMINÁRIAS</t>
  </si>
  <si>
    <t>Luminaria embutir, tubo led, pot. 4x9w - 6500k, com aletas parabolicas, difusor translucido, refletor de aluminio anodizado, dim.: 618x618mm</t>
  </si>
  <si>
    <t>Luminaria embutir, tubo led, pot. 4x9w - 6500k, sem aletas, difusor translucido, refletor de aluminio anodizado, dim.: 618x618mm</t>
  </si>
  <si>
    <t>Luminaria de embutir redonda com lâmpada led, pot. 1x7w - 6500k  aro e aba de alumínio injetado com acabamento em pintura na cor branca</t>
  </si>
  <si>
    <t>Luminaria embutir tubo led 2x19w 6500k aletas parabolicas difusor translucido e refletor de aluminio anodizado, dim.: 244x618mm</t>
  </si>
  <si>
    <t>Luminária embutir, redonda, led 9w - 6500k, corpo de aluminio e difusor de policarbonato</t>
  </si>
  <si>
    <t>Luminária de embutir, redonda, com led 18w - 6500k, corpo aluminio e difusor de policarbonato</t>
  </si>
  <si>
    <t>Luminária de embutir, tipo linear com led pot. 35w,  6500k refletor em chapa de aço com pintura cor  branca e difusor acrílico leitoso extrundado, dim.  67x2237mm</t>
  </si>
  <si>
    <t>Luminária de embutir, tipo linear com led pot. 70w,  6500k refletor em chapa de aço com pintura cor  branca e difusor acrílico leitoso extrundado, dim.  67x2237mm</t>
  </si>
  <si>
    <t>Luminária embutir com leds tubulares, pot. 1x19w - 6500k  difusor translúcido e refletor de alumínio anodizado, dim. 174x1243mm</t>
  </si>
  <si>
    <t>Luminária de sobrepor com leds tubulares, pot. 2x19w - 6500k  difusor translúcido, refletor de aluminio anodizado, dim.: 235x1243mm</t>
  </si>
  <si>
    <t>Luminária de sobrepor com leds tubulares, pot. 2x19w - 6500k refletor de alumínio anodizado de alto brilho, dim.: 160x1235mm</t>
  </si>
  <si>
    <t>Luminária arandela com led tubular, pot. 1x19w - 6500k  difusor translucido e refletor de alumínio anodizado, dim.: 244x618mm</t>
  </si>
  <si>
    <t>Luminária de embutir balizador, led e27 1x4w - 6500k, difusor temperado jateado e corpo alúminio  injetado com pintura eletrostática branca, dim.: 105x233mm</t>
  </si>
  <si>
    <t>Luminária embutir com leds tubulares, pot. 2x10w - 6500k  difusor translúcido e refletor alumínio anodizado, dim.: 175x618mm</t>
  </si>
  <si>
    <t xml:space="preserve">Luminária tipo espeto, com lâmpada led 10w, 6500k, ip-65 e instalada no jardim </t>
  </si>
  <si>
    <t>Luminária pendente de led e27, ip-65, com grade, visor em vidro anti-ofuscamento e corpo em alumínio injetado com pintura eletrostática a pó</t>
  </si>
  <si>
    <t>Luminária arandela 45°, led e27, pot. 13w - ip-65, com visor em vidro com grade e corpo alumínio injetado com pintura eletrostática a pó</t>
  </si>
  <si>
    <t>Luminária de emergência, sobrepor, unidade autônoma, led 4w, com indicação de saída, para instalação no teto</t>
  </si>
  <si>
    <t>Luminária de emergência, sobrepor, unidade autônoma, led 4w, com indicação de saída, para instalação em parede</t>
  </si>
  <si>
    <t>Luminária de emergência, sobrepor, unidade autônoma, led 4w, aclaramento, para instalação em parede</t>
  </si>
  <si>
    <t>Unidade autônoma de soprepor com 2 projetores em led de 2x55w de alta intensidade luminosa</t>
  </si>
  <si>
    <t>ATERRAMENTO</t>
  </si>
  <si>
    <t>Cabo de cobre nú, 7 fios, inclusive isoladores # 35mm²</t>
  </si>
  <si>
    <t>Cabo de cobre nú, 7 fios, inclusive isoladores # 50mm²</t>
  </si>
  <si>
    <t>Terminal à pressão reforçado para conexão de cabo de cobre à barra de aterramento, # 35mm² a  # 70mm²</t>
  </si>
  <si>
    <t>Caixa de inspeção em PVC com tampa metálica para aterramento, diâmetro 300mm e altura 400mm</t>
  </si>
  <si>
    <t>Haste de aterramento tipo Cooperweld de cobre - 5/8" x 3,00m, com conector</t>
  </si>
  <si>
    <t>Barra Chata em Alumínio 7/8"x1/8"mmx3,00m, inclusive acessórios e conexões</t>
  </si>
  <si>
    <t>Terminal Aéreo em Barra chara de alumínio 7/8"x1/8"mm e altura de 60cm</t>
  </si>
  <si>
    <t>Barramento de Equipotencialização 2"x 1/4" ISOLADO, instalado em caixa metálica de sobrepor 300x300x120mm com tampa.</t>
  </si>
  <si>
    <t>Conector Aterrinsert com disco de latão, rosca fêmea M12 e  distância do condutor regulável.</t>
  </si>
  <si>
    <t>Tela em Inox 1,5mm para equipotencialização de cilindros de gases</t>
  </si>
  <si>
    <t>Conector cabo-haste em bronze para 1 cabos # 16-70mm²</t>
  </si>
  <si>
    <t>Conector cabo-haste em bronze para 2 cabos # 16-70mm²</t>
  </si>
  <si>
    <t>QUADROS E PAINÉIS</t>
  </si>
  <si>
    <t>Quadro de Força para elevador, composto por sistema de força trifásico com tensão nominal de 220V e frequência de 60Hz para elevador de 10,0cv, com chave seccionadora geral de 50A, conforme especificações do fabricante</t>
  </si>
  <si>
    <t>Quadro de Força para bombas de recalque de água potável, composto por sistema de força trifásico com tensão nominal de 220V e frequência de 60Hz para 1 bomba de 1,5cv com disjuntor motor geral de 16A; sistema de supervisão de falta de fase e sistema de comando eletromecânico</t>
  </si>
  <si>
    <t>Quadro de Força para bombas de recalque de água de reúso, composto por sistema de força trifásico com tensão nominal de 220V e frequência de 60Hz para 2 bombas de 3,0cv com disjuntor motor geral de 16A; sistema de supervisão de falta de fase e sistema de comando eletromecânico</t>
  </si>
  <si>
    <t>QF-AAER (Previsão de cargas para equipamento específico, deverá ser elaborado diagrama conforme as necessidades do equipamento)</t>
  </si>
  <si>
    <t>QF-ICPMS (Previsão de cargas para equipamento específico, deverá ser elaborado diagrama conforme as necessidades do equipamento)</t>
  </si>
  <si>
    <t>QF-TOM (Previsão de cargas para equipamento específico, deverá ser elaborado diagrama conforme as necessidades do equipamento)</t>
  </si>
  <si>
    <t>QF-MEV (Previsão de cargas para equipamento específico, deverá ser elaborado diagrama conforme as necessidades do equipamento)</t>
  </si>
  <si>
    <t>QF-EPMA (Previsão de cargas para equipamento específico, deverá ser elaborado diagrama conforme as necessidades do equipamento)</t>
  </si>
  <si>
    <t>QF-SIMS (Previsão de cargas para equipamento específico, deverá ser elaborado diagrama conforme as necessidades do equipamento)</t>
  </si>
  <si>
    <t>Chave-boia elétrica de regulagem de nível de água em reservatórios para acionamento de bombas elétricas - fornecimento e instalação</t>
  </si>
  <si>
    <t>1,00</t>
  </si>
  <si>
    <t>Módulo de entrada de energia em média tensão tipo cubículo compacto, grau de proteção IP 44, composto por 03 muflas unipolares classe 15 kV, pára-raios de média tensão classe 15 kV,jogo de barras tripolar de 630 A, chave seccionadora de 3 posições 630A - 15KV - NBI 95kV, funcionamento sob carga, com contatos selados a gás SF6, indicadores de presença de tensão, resistência de aquecimento de 50W, conforme diagrama de projeto - Referência DM1-A SM6-24kV schneider electric</t>
  </si>
  <si>
    <t>Módulo de saída de energia em média tensão tipo cubículo compacto, grau de proteção IP 44, composto por 03 muflas unipolares classe 15 kV, chave  seccionadora de 3 posições  630A -  15KV -  NBI  95kV,  funcionamento  sob carga,  com  contatos  selados  a gás  SF6,  e  chave de terra com intertravamentos de segurança, indicadores de presença de tensão,  equipamento para três fusíveis DIN com sistema “striker pin”, mecanismo de sinalização de queima de fusível, resistência de aquecimento de 50W, conforme diagrama de projeto - Referência QM SM6-24kV schneider electric</t>
  </si>
  <si>
    <t>BARRAMENTOS</t>
  </si>
  <si>
    <t>Cofre "plug-in" para instalação em barramento blindado, equipado com disjuntor tipo caixa moldada de 2500A</t>
  </si>
  <si>
    <t>Barramento blindado tipo "bus-way", condutores em alumínio, corrente nominal (ith) 2500A, corrente de curto circuito (lcc) 75kA, grau de proteção IP 31, condutores (NFFF). Obs.: neutro com seção igual a fase, inclusive acessórios e fixações</t>
  </si>
  <si>
    <t>EQUIPAMENTOS</t>
  </si>
  <si>
    <t>Transformador de 750kVA a seco, IP 21, Tap's primários:  13,8 / 13,2 / 12,6 / 12 / 11,4kV, Tap's secundários: 220/127V - neutro aterrado, isolamento classe  15 kV, frequência 60Hz</t>
  </si>
  <si>
    <t>Grupo gerador a diesel, com potência intermitente de 750 kVA e potência contínua de 680 kVA, tensão 220/127V e frequência de 60Hz, equipado com sistema de comando Paralelismo e Sincronismo e atenuação de ruídos</t>
  </si>
  <si>
    <t>No-breaks de 5 KVA, tensão de entrada: 220 VCA três fios mais um terra. As UPSs devem possuir tecnologia dupla conversão, true on line, com retificador de 6 pulsos e inversor com IGBT, controlado por microprocessador (DSP). Deve possuir entradas distintas para o ramo do retificador e ramo do by-pass, além de porta de comunicação RS 232 Incluso baterias e gabinetes de montagem igual ao da UPS.</t>
  </si>
  <si>
    <t>No-breaks de 3 KVA, tensão de entrada: 220 VCA três fios mais um terra. As UPSs devem possuir tecnologia dupla conversão, true on line, com retificador de 6 pulsos e inversor com IGBT, controlado por microprocessador (DSP). Deve possuir entradas distintas para o ramo do retificador e ramo do by-pass, além de porta de comunicação RS 232 Incluso baterias e gabinetes de montagem igual ao da UPS.</t>
  </si>
  <si>
    <t>Banco de Capacitores Automático (deverá ser reavaliado a necessidade e especificações após devida análise do consumo. Energético)</t>
  </si>
  <si>
    <t>Estrado (tapete) de Borracha Isolante - Dimensões 1.000 x 1.000 x 25mm para isolação piso de subestações e cabines</t>
  </si>
  <si>
    <t>Tampão Ferro Fundido para canaletas subestação para Classe C 250 (ruptura &gt;250 kN) nas dimensões 1,20 m x 0,8</t>
  </si>
  <si>
    <t>Par de Luvas isolante classe II, 25 kV</t>
  </si>
  <si>
    <t>Par de Luvas de raspa para Cobertura da luva isolante</t>
  </si>
  <si>
    <t>Caixa em madeira porta luvas</t>
  </si>
  <si>
    <t>Capacete de proteção aba total com jugular</t>
  </si>
  <si>
    <t>Óculos de Proteção com lente em acrílico incolor</t>
  </si>
  <si>
    <t>Placa Metálica de Advertência “ Perigo de Morte” - fornecimento e instalação</t>
  </si>
  <si>
    <t>SERVIÇOS COMPLEMENTARES</t>
  </si>
  <si>
    <t>ENERGIA FOTOVOLTAICA</t>
  </si>
  <si>
    <t>Canadian Solar INC CS6X-320FG ou equivalente</t>
  </si>
  <si>
    <t>Inversor fotovoltaico trifásico 220V-60Hz, fabricante Intelbras, modelo: EGT 20000 MAX 220V G2 ou equivalente</t>
  </si>
  <si>
    <t>Cabos para instalações fotovoltaicas, conforme norma NBR 16690 #4mm²</t>
  </si>
  <si>
    <t>Condutores elétricos - em cabos flexíveis unipolares tipo LSHO (Low Smoke Zero Halogens) em cobre, conforme NBR 13348 e certificado de conformidade InMetro Portaria 620/2012 em validade; incluindo fita isolante, bornes, anilhas, estiquetas de identificação, conectores, isolações, e demais acessórios necessários a funcionalidade do sistema. em cobre, com isolação HEPR/EPR 90°C e cobertura em poliotefina, 0,6/1KV, Marcas Referência Ficap, Prysmian, Phelps Dodge, ou outros identicos que atendam técnicamente às características técnicas, performance e qualidade solicitadas constantes, ou não, dos descritivos nos ítens, #10mm²</t>
  </si>
  <si>
    <t>ELETRODUTOS E CAIXAS DE PASSAGEM</t>
  </si>
  <si>
    <t>Conjunto/Quadro de Junção - Conforme Diagrama</t>
  </si>
  <si>
    <t>Quadro de Paralelismo e  Medição - Conforme Diagrama</t>
  </si>
  <si>
    <t>Parafusos estruturais para fixação em telha sanduiche ou laje</t>
  </si>
  <si>
    <t>Perfil de fixação conforme projeto</t>
  </si>
  <si>
    <t>Grampos intermediários conforme projeto</t>
  </si>
  <si>
    <t>Grampos terminais</t>
  </si>
  <si>
    <t>Acessórios e miudezas</t>
  </si>
  <si>
    <t>SISTEMAS</t>
  </si>
  <si>
    <t>Eletroduto corrugado flexível em PEAD Ø 1"</t>
  </si>
  <si>
    <t>CAIXAS DE PASSAGEM</t>
  </si>
  <si>
    <t>ELETROCALHAS</t>
  </si>
  <si>
    <t>PONTOS DE DADOS E VOZ</t>
  </si>
  <si>
    <t>RACK E ACESSÓRIOS</t>
  </si>
  <si>
    <t>Rack fechado 19” 44U confeccionado em aço, pintura epóxi antioxidante em tons grafite preto, dotado de organizadores laterais, verticais, frontal e traseira compatível com dimensionamento das cablagens e carregado com parafuso com porca gaiola 12mm e rosca M5. (Dimensão P x L x H - 60x60x205cm)</t>
  </si>
  <si>
    <t>CABOS</t>
  </si>
  <si>
    <t>DETECÇÃO E ALARME DE INCÊNDIO</t>
  </si>
  <si>
    <t>INSTALAÇÕES HIDRÁULICAS</t>
  </si>
  <si>
    <t>ÁGUA FRIA</t>
  </si>
  <si>
    <t>Estação compacta de tratamento de água "OSMOSE REVERSA"</t>
  </si>
  <si>
    <t>Sistema de pressurização - 1 principal + 1 reserva, revesamento automático - Vazão: 8m³/h, Pressão: 40mca, Potência: 4cv</t>
  </si>
  <si>
    <t>2,00</t>
  </si>
  <si>
    <t>ESGOTO</t>
  </si>
  <si>
    <t>DRENO DE AR CONDICIONADO</t>
  </si>
  <si>
    <t>ÁGUAS PLUVIAIS</t>
  </si>
  <si>
    <t>Grelha plana em ferro fundido, Ø 75mm - fornecimento e instalação</t>
  </si>
  <si>
    <t>Filtro fino VORTEX - WFF 300 REF: WISY - AQUASTOCK - fornecimento e instalação</t>
  </si>
  <si>
    <t>Reservatório de água ACQUAVIDA - V=7.000L, 2,50m / H=1,68m, referência ACQUA7000</t>
  </si>
  <si>
    <t>Sistema de pressurização - REÚSO - 1 principal + 1 reserva, revesamento automático - Vazão: 4m³/h, Pressão: 40mca, Potência: 4cv</t>
  </si>
  <si>
    <t>Estação para tratamento de água de chuva ALFAMEC - vazão: 1500 L/H, potência: 1cv</t>
  </si>
  <si>
    <t>Poço de recalque de água servida volume = 1000 lts. Ø 1,00</t>
  </si>
  <si>
    <t>Bomba de recalque de água servida, vazão: 13,00m3/h, pressão: 16mca, potência: 1,5cv</t>
  </si>
  <si>
    <t>GASES ESPECIAIS</t>
  </si>
  <si>
    <t>Ponto de gases especiais + registro de esfera em bronze para gás, Ø ½" - fornecimento e instalação</t>
  </si>
  <si>
    <t>Central de gases para argônio - fornecimento e instalação</t>
  </si>
  <si>
    <t>Central de gases para oxigênio - fornecimento e instalação</t>
  </si>
  <si>
    <t>Central de gases para nitrogênio - fornecimento e instalação</t>
  </si>
  <si>
    <t>Central de gases para ar comprimido - fornecimento e instalação</t>
  </si>
  <si>
    <t>INSTALAÇÕES DE COMBATE A INCÊNDIO</t>
  </si>
  <si>
    <t>Extintor de espuma 2-A:10-B - 9L - portátil</t>
  </si>
  <si>
    <t>Bomba de incêndio CMI</t>
  </si>
  <si>
    <t>Reservatório de água bruta de incêndio: 4.000 litros, consumo NP: 3.000 litros, Total:
7.000 litros, 2,50m / H=1,68m</t>
  </si>
  <si>
    <t>97,00</t>
  </si>
  <si>
    <t>14,00</t>
  </si>
  <si>
    <t>8,00</t>
  </si>
  <si>
    <t>LOUÇAS</t>
  </si>
  <si>
    <t>METAIS</t>
  </si>
  <si>
    <t>LOUÇAS, METAIS SANITÁRIOS, BANCADAS, MOBILIÁRIO E COMPLEMENTOS</t>
  </si>
  <si>
    <t>BANCADAS</t>
  </si>
  <si>
    <t>ESPELHOS</t>
  </si>
  <si>
    <t>Dispenser para papel higiênico</t>
  </si>
  <si>
    <t>Dispenser para sabonete em espuma</t>
  </si>
  <si>
    <t>Papeleira de sobrepor</t>
  </si>
  <si>
    <t>CLIMATIZAÇÃO E EXAUSTÃO</t>
  </si>
  <si>
    <t>GRELHAS</t>
  </si>
  <si>
    <t>DAMPER</t>
  </si>
  <si>
    <t>DIFUSORES</t>
  </si>
  <si>
    <t>DUTOS EM CHAPA E FLEXÍVEIS</t>
  </si>
  <si>
    <t>QUADROS E INTERLIGAÇÕES ELÉTRICAS</t>
  </si>
  <si>
    <t>DIVERSOS</t>
  </si>
  <si>
    <t/>
  </si>
  <si>
    <t>Duto em chapa de aço galvanizada # 22 para ar condicionado. inclusive suportes e fixações em dutos.</t>
  </si>
  <si>
    <t>Duto em chapa de aço galvanizada # 26 para ar condicionado. inclusive suportes e fixações em dutos.</t>
  </si>
  <si>
    <t>Duto em chapa de aço galvanizada # 24 para ar condicionado. inclusive suportes e fixações em dutos.</t>
  </si>
  <si>
    <t>Manta de lã de vidro</t>
  </si>
  <si>
    <t>Suportes, fitas, e acessórios</t>
  </si>
  <si>
    <t>REDE FRIGORÍGENA</t>
  </si>
  <si>
    <t xml:space="preserve">Alimentação elétrica completa com eletrodutos, fiações, conexões entre ponto de força e unidades condensadoras e evaporadoras </t>
  </si>
  <si>
    <t>Interligação elétrica de força e comando de unidades evaporadoras, completas de cabos de força e comando e automação</t>
  </si>
  <si>
    <t>Painel de comando e supervisão geral de unidades condensadoras+evaporadoras</t>
  </si>
  <si>
    <t xml:space="preserve">Lastros de neoprene + perfil metálico para instalação das unidades condensadoras </t>
  </si>
  <si>
    <t>Transporte horizontal/vertical, fretes, e seguros</t>
  </si>
  <si>
    <t xml:space="preserve">Projeto "as-built", manual de operação e manutenção  </t>
  </si>
  <si>
    <t>Pontos de drenagem (apenas interligação)</t>
  </si>
  <si>
    <t>Suportes e miudezas</t>
  </si>
  <si>
    <t>Mobilizações e desmobilizações</t>
  </si>
  <si>
    <t>Equipe técnica permanente</t>
  </si>
  <si>
    <t>ART (anotação de responsabilidade técnica)</t>
  </si>
  <si>
    <t>REVESTIMENTO DE PAREDES</t>
  </si>
  <si>
    <t>REVESTIMENTOS BÁSICOS</t>
  </si>
  <si>
    <t>REVESTIMENTOS CERÂMICOS</t>
  </si>
  <si>
    <t>REVESTIMENTOS ACÚSTICOS</t>
  </si>
  <si>
    <t>Lã de rocha d= 60 kg/m3 e= 50 mm com acabamento em véu de vidro branco e tela de arame galvanizado fixada em perfis metálicos tipo drywall</t>
  </si>
  <si>
    <t>REVESTIMENTO DE FORROS</t>
  </si>
  <si>
    <t>REVESTIMENTOS EM GESSO</t>
  </si>
  <si>
    <t>REVESTIMENTO CERÂMICO</t>
  </si>
  <si>
    <t>REVESTIMENTO EM GRANITO</t>
  </si>
  <si>
    <t>PISO ELEVADO</t>
  </si>
  <si>
    <t>ACABAMENTOS EM RESINA</t>
  </si>
  <si>
    <t>PINTURAS</t>
  </si>
  <si>
    <t>PAREDES INTERNAS</t>
  </si>
  <si>
    <t>FORROS</t>
  </si>
  <si>
    <t>REVESTIMENTO EM POLIPROPILENO</t>
  </si>
  <si>
    <t>PAVIMENTAÇÃO</t>
  </si>
  <si>
    <t>ELEVADORES</t>
  </si>
  <si>
    <t>PAISAGISMO</t>
  </si>
  <si>
    <t>2.1.1</t>
  </si>
  <si>
    <t>2.1.2</t>
  </si>
  <si>
    <t>2.1.3</t>
  </si>
  <si>
    <t>2.1.4</t>
  </si>
  <si>
    <t>2.1.5</t>
  </si>
  <si>
    <t>2.1.6</t>
  </si>
  <si>
    <t>2.1.7</t>
  </si>
  <si>
    <t>2.1.8</t>
  </si>
  <si>
    <t>2.1.9</t>
  </si>
  <si>
    <t>2.1.10</t>
  </si>
  <si>
    <t>2.1.11</t>
  </si>
  <si>
    <t>2.1.12</t>
  </si>
  <si>
    <t>2.1.13</t>
  </si>
  <si>
    <t>2.1.14</t>
  </si>
  <si>
    <t>2.1.15</t>
  </si>
  <si>
    <t>2.1.16</t>
  </si>
  <si>
    <t>2.1.17</t>
  </si>
  <si>
    <t>2.1.18</t>
  </si>
  <si>
    <t>7.2</t>
  </si>
  <si>
    <t>3.2</t>
  </si>
  <si>
    <t>3.3</t>
  </si>
  <si>
    <t>3.4</t>
  </si>
  <si>
    <t>3.5</t>
  </si>
  <si>
    <t>3.6</t>
  </si>
  <si>
    <t>3.7</t>
  </si>
  <si>
    <t>3.8</t>
  </si>
  <si>
    <t>3.9</t>
  </si>
  <si>
    <t>3.10</t>
  </si>
  <si>
    <t>4.1</t>
  </si>
  <si>
    <t>4.1.1</t>
  </si>
  <si>
    <t>4.1.2</t>
  </si>
  <si>
    <t>4.2</t>
  </si>
  <si>
    <t>4.2.1</t>
  </si>
  <si>
    <t>9.2</t>
  </si>
  <si>
    <t>4.2.1.1</t>
  </si>
  <si>
    <t>4.2.1.2</t>
  </si>
  <si>
    <t>4.2.1.4</t>
  </si>
  <si>
    <t>4.2.1.5</t>
  </si>
  <si>
    <t>4.2.1.6</t>
  </si>
  <si>
    <t>4.2.1.7</t>
  </si>
  <si>
    <t>4.2.1.8</t>
  </si>
  <si>
    <t>4.2.1.9</t>
  </si>
  <si>
    <t>4.2.2</t>
  </si>
  <si>
    <t>4.2.2.1</t>
  </si>
  <si>
    <t>4.2.2.2</t>
  </si>
  <si>
    <t>4.2.2.4</t>
  </si>
  <si>
    <t>4.2.2.5</t>
  </si>
  <si>
    <t>4.2.2.6</t>
  </si>
  <si>
    <t>4.2.2.7</t>
  </si>
  <si>
    <t>4.2.2.8</t>
  </si>
  <si>
    <t>4.2.2.9</t>
  </si>
  <si>
    <t>4.2.2.10</t>
  </si>
  <si>
    <t>4.2.2.11</t>
  </si>
  <si>
    <t>5.1</t>
  </si>
  <si>
    <t>5.1.1</t>
  </si>
  <si>
    <t>9.1.1</t>
  </si>
  <si>
    <t>8.2.2</t>
  </si>
  <si>
    <t>5.1.2</t>
  </si>
  <si>
    <t>5.1.3</t>
  </si>
  <si>
    <t>5.1.4</t>
  </si>
  <si>
    <t>5.1.5</t>
  </si>
  <si>
    <t>5.1.6</t>
  </si>
  <si>
    <t>5.1.7</t>
  </si>
  <si>
    <t>5.1.8</t>
  </si>
  <si>
    <t>5.1.9</t>
  </si>
  <si>
    <t>5.1.10</t>
  </si>
  <si>
    <t>5.1.11</t>
  </si>
  <si>
    <t>5.1.12</t>
  </si>
  <si>
    <t>5.2</t>
  </si>
  <si>
    <t>5.2.1</t>
  </si>
  <si>
    <t>5.2.2</t>
  </si>
  <si>
    <t>5.2.3</t>
  </si>
  <si>
    <t>5.3</t>
  </si>
  <si>
    <t>5.3.1</t>
  </si>
  <si>
    <t>6.1</t>
  </si>
  <si>
    <t>6.1.1</t>
  </si>
  <si>
    <t>6.2</t>
  </si>
  <si>
    <t>6.2.1</t>
  </si>
  <si>
    <t>6.2.2</t>
  </si>
  <si>
    <t>6.3</t>
  </si>
  <si>
    <t>6.3.1</t>
  </si>
  <si>
    <t>6.4</t>
  </si>
  <si>
    <t>6.4.1</t>
  </si>
  <si>
    <t>6.4.2</t>
  </si>
  <si>
    <t>7.1</t>
  </si>
  <si>
    <t>7.1.1</t>
  </si>
  <si>
    <t>7.3</t>
  </si>
  <si>
    <t>7.3.2</t>
  </si>
  <si>
    <t>7.3.3</t>
  </si>
  <si>
    <t>7.3.4</t>
  </si>
  <si>
    <t>7.4</t>
  </si>
  <si>
    <t>7.4.1</t>
  </si>
  <si>
    <t>8.1</t>
  </si>
  <si>
    <t>8.1.1</t>
  </si>
  <si>
    <t>8.1.2</t>
  </si>
  <si>
    <t>8.2</t>
  </si>
  <si>
    <t>8.2.1</t>
  </si>
  <si>
    <t>8.2.3</t>
  </si>
  <si>
    <t>8.2.4</t>
  </si>
  <si>
    <t>8.2.5</t>
  </si>
  <si>
    <t>8.2.6</t>
  </si>
  <si>
    <t>8.2.7</t>
  </si>
  <si>
    <t>8.2.8</t>
  </si>
  <si>
    <t>8.2.9</t>
  </si>
  <si>
    <t>8.2.10</t>
  </si>
  <si>
    <t>8.2.11</t>
  </si>
  <si>
    <t>8.2.12</t>
  </si>
  <si>
    <t>8.2.13</t>
  </si>
  <si>
    <t>8.2.14</t>
  </si>
  <si>
    <t>8.2.15</t>
  </si>
  <si>
    <t>8.2.16</t>
  </si>
  <si>
    <t>8.2.17</t>
  </si>
  <si>
    <t>8.2.18</t>
  </si>
  <si>
    <t>8.2.19</t>
  </si>
  <si>
    <t>8.3</t>
  </si>
  <si>
    <t>8.3.1</t>
  </si>
  <si>
    <t>8.3.2</t>
  </si>
  <si>
    <t>8.4</t>
  </si>
  <si>
    <t>8.4.1</t>
  </si>
  <si>
    <t>8.4.2</t>
  </si>
  <si>
    <t>8.4.3</t>
  </si>
  <si>
    <t>8.4.4</t>
  </si>
  <si>
    <t>8.4.5</t>
  </si>
  <si>
    <t>8.5</t>
  </si>
  <si>
    <t>8.5.1</t>
  </si>
  <si>
    <t>9.1</t>
  </si>
  <si>
    <t>9.1.2</t>
  </si>
  <si>
    <t>9.1.3</t>
  </si>
  <si>
    <t>9.1.4</t>
  </si>
  <si>
    <t>9.1.5</t>
  </si>
  <si>
    <t>9.1.6</t>
  </si>
  <si>
    <t>9.1.7</t>
  </si>
  <si>
    <t>9.1.8</t>
  </si>
  <si>
    <t>9.1.9</t>
  </si>
  <si>
    <t>9.1.10</t>
  </si>
  <si>
    <t>9.1.11</t>
  </si>
  <si>
    <t>9.1.12</t>
  </si>
  <si>
    <t>9.1.13</t>
  </si>
  <si>
    <t>9.1.14</t>
  </si>
  <si>
    <t>9.1.15</t>
  </si>
  <si>
    <t>9.1.16</t>
  </si>
  <si>
    <t>9.2.1</t>
  </si>
  <si>
    <t>9.2.2</t>
  </si>
  <si>
    <t>9.2.3</t>
  </si>
  <si>
    <t>9.2.4</t>
  </si>
  <si>
    <t>9.2.5</t>
  </si>
  <si>
    <t>9.2.6</t>
  </si>
  <si>
    <t>9.2.7</t>
  </si>
  <si>
    <t>9.2.8</t>
  </si>
  <si>
    <t>9.2.9</t>
  </si>
  <si>
    <t>9.3</t>
  </si>
  <si>
    <t>9.3.1</t>
  </si>
  <si>
    <t>9.3.2</t>
  </si>
  <si>
    <t>9.3.3</t>
  </si>
  <si>
    <t>9.3.4</t>
  </si>
  <si>
    <t>9.3.5</t>
  </si>
  <si>
    <t>9.3.6</t>
  </si>
  <si>
    <t>9.4</t>
  </si>
  <si>
    <t>9.4.1</t>
  </si>
  <si>
    <t>9.4.2</t>
  </si>
  <si>
    <t>9.4.3</t>
  </si>
  <si>
    <t>9.4.4</t>
  </si>
  <si>
    <t>9.5</t>
  </si>
  <si>
    <t>9.5.1</t>
  </si>
  <si>
    <t>9.5.2</t>
  </si>
  <si>
    <t>9.5.3</t>
  </si>
  <si>
    <t>9.5.4</t>
  </si>
  <si>
    <t>9.6</t>
  </si>
  <si>
    <t>9.6.1</t>
  </si>
  <si>
    <t>9.6.2</t>
  </si>
  <si>
    <t>9.6.3</t>
  </si>
  <si>
    <t>9.6.4</t>
  </si>
  <si>
    <t>9.6.5</t>
  </si>
  <si>
    <t>9.6.6</t>
  </si>
  <si>
    <t>9.6.7</t>
  </si>
  <si>
    <t>9.6.8</t>
  </si>
  <si>
    <t>9.6.9</t>
  </si>
  <si>
    <t>9.6.10</t>
  </si>
  <si>
    <t>9.6.11</t>
  </si>
  <si>
    <t>9.6.12</t>
  </si>
  <si>
    <t>9.6.13</t>
  </si>
  <si>
    <t>9.6.14</t>
  </si>
  <si>
    <t>9.6.15</t>
  </si>
  <si>
    <t>9.6.16</t>
  </si>
  <si>
    <t>9.6.17</t>
  </si>
  <si>
    <t>9.6.18</t>
  </si>
  <si>
    <t>9.6.19</t>
  </si>
  <si>
    <t>9.6.20</t>
  </si>
  <si>
    <t>9.6.21</t>
  </si>
  <si>
    <t>9.6.22</t>
  </si>
  <si>
    <t>9.6.23</t>
  </si>
  <si>
    <t>9.7</t>
  </si>
  <si>
    <t>9.7.1</t>
  </si>
  <si>
    <t>9.7.2</t>
  </si>
  <si>
    <t>9.7.3</t>
  </si>
  <si>
    <t>9.7.4</t>
  </si>
  <si>
    <t>9.7.5</t>
  </si>
  <si>
    <t>9.7.6</t>
  </si>
  <si>
    <t>9.7.7</t>
  </si>
  <si>
    <t>9.7.8</t>
  </si>
  <si>
    <t>9.7.9</t>
  </si>
  <si>
    <t>9.7.10</t>
  </si>
  <si>
    <t>9.7.11</t>
  </si>
  <si>
    <t>9.7.12</t>
  </si>
  <si>
    <t>9.7.13</t>
  </si>
  <si>
    <t>9.8</t>
  </si>
  <si>
    <t>9.8.1</t>
  </si>
  <si>
    <t>9.8.2</t>
  </si>
  <si>
    <t>9.8.3</t>
  </si>
  <si>
    <t>9.8.4</t>
  </si>
  <si>
    <t>9.8.5</t>
  </si>
  <si>
    <t>9.8.6</t>
  </si>
  <si>
    <t>9.8.7</t>
  </si>
  <si>
    <t>9.8.8</t>
  </si>
  <si>
    <t>9.8.9</t>
  </si>
  <si>
    <t>9.8.10</t>
  </si>
  <si>
    <t>9.8.11</t>
  </si>
  <si>
    <t>9.8.12</t>
  </si>
  <si>
    <t>9.8.13</t>
  </si>
  <si>
    <t>9.8.14</t>
  </si>
  <si>
    <t>9.8.15</t>
  </si>
  <si>
    <t>9.8.16</t>
  </si>
  <si>
    <t>9.8.17</t>
  </si>
  <si>
    <t>9.8.18</t>
  </si>
  <si>
    <t>9.8.19</t>
  </si>
  <si>
    <t>9.8.20</t>
  </si>
  <si>
    <t>9.8.21</t>
  </si>
  <si>
    <t>9.8.22</t>
  </si>
  <si>
    <t>9.8.23</t>
  </si>
  <si>
    <t>9.8.24</t>
  </si>
  <si>
    <t>9.9</t>
  </si>
  <si>
    <t>9.9.1</t>
  </si>
  <si>
    <t>9.9.2</t>
  </si>
  <si>
    <t>9.10</t>
  </si>
  <si>
    <t>9.10.1</t>
  </si>
  <si>
    <t>9.10.2</t>
  </si>
  <si>
    <t>9.10.3</t>
  </si>
  <si>
    <t>9.10.4</t>
  </si>
  <si>
    <t>9.10.5</t>
  </si>
  <si>
    <t>9.10.6</t>
  </si>
  <si>
    <t>9.10.7</t>
  </si>
  <si>
    <t>9.10.8</t>
  </si>
  <si>
    <t>9.10.9</t>
  </si>
  <si>
    <t>9.10.10</t>
  </si>
  <si>
    <t>9.10.11</t>
  </si>
  <si>
    <t>9.10.12</t>
  </si>
  <si>
    <t>9.10.13</t>
  </si>
  <si>
    <t>9.11</t>
  </si>
  <si>
    <t>10.1</t>
  </si>
  <si>
    <t>10.1.1</t>
  </si>
  <si>
    <t>10.2</t>
  </si>
  <si>
    <t>10.2.1</t>
  </si>
  <si>
    <t>10.4.3</t>
  </si>
  <si>
    <t>10.4.4</t>
  </si>
  <si>
    <t>11.1</t>
  </si>
  <si>
    <t>11.1.1</t>
  </si>
  <si>
    <t>11.1.2</t>
  </si>
  <si>
    <t>11.1.3</t>
  </si>
  <si>
    <t>11.1.4</t>
  </si>
  <si>
    <t>11.1.5</t>
  </si>
  <si>
    <t>11.2</t>
  </si>
  <si>
    <t>11.2.1</t>
  </si>
  <si>
    <t>11.3</t>
  </si>
  <si>
    <t>11.3.1</t>
  </si>
  <si>
    <t>11.3.2</t>
  </si>
  <si>
    <t>11.4</t>
  </si>
  <si>
    <t>11.4.1</t>
  </si>
  <si>
    <t>11.4.2</t>
  </si>
  <si>
    <t>11.4.3</t>
  </si>
  <si>
    <t>11.4.4</t>
  </si>
  <si>
    <t>11.5</t>
  </si>
  <si>
    <t>11.5.1</t>
  </si>
  <si>
    <t>11.5.2</t>
  </si>
  <si>
    <t>11.5.3</t>
  </si>
  <si>
    <t>11.5.4</t>
  </si>
  <si>
    <t>11.5.5</t>
  </si>
  <si>
    <t>11.5.6</t>
  </si>
  <si>
    <t>11.5.7</t>
  </si>
  <si>
    <t>11.5.8</t>
  </si>
  <si>
    <t>11.6</t>
  </si>
  <si>
    <t>11.6.1</t>
  </si>
  <si>
    <t>11.6.2</t>
  </si>
  <si>
    <t>11.6.3</t>
  </si>
  <si>
    <t>11.6.4</t>
  </si>
  <si>
    <t>11.7</t>
  </si>
  <si>
    <t>11.7.1</t>
  </si>
  <si>
    <t>11.7.2</t>
  </si>
  <si>
    <t>11.7.3</t>
  </si>
  <si>
    <t>11.7.4</t>
  </si>
  <si>
    <t>11.8</t>
  </si>
  <si>
    <t>11.8.1</t>
  </si>
  <si>
    <t>11.8.2</t>
  </si>
  <si>
    <t>11.8.3</t>
  </si>
  <si>
    <t>11.8.4</t>
  </si>
  <si>
    <t>11.8.5</t>
  </si>
  <si>
    <t>11.8.6</t>
  </si>
  <si>
    <t>11.8.7</t>
  </si>
  <si>
    <t>12.1</t>
  </si>
  <si>
    <t>12.1.1</t>
  </si>
  <si>
    <t>12.1.2</t>
  </si>
  <si>
    <t>12.1.3</t>
  </si>
  <si>
    <t>12.1.4</t>
  </si>
  <si>
    <t>12.1.5</t>
  </si>
  <si>
    <t>12.1.6</t>
  </si>
  <si>
    <t>12.1.7</t>
  </si>
  <si>
    <t>12.1.8</t>
  </si>
  <si>
    <t>12.1.9</t>
  </si>
  <si>
    <t>12.1.10</t>
  </si>
  <si>
    <t>12.1.11</t>
  </si>
  <si>
    <t>12.1.12</t>
  </si>
  <si>
    <t>12.1.13</t>
  </si>
  <si>
    <t>12.1.14</t>
  </si>
  <si>
    <t>12.2</t>
  </si>
  <si>
    <t>12.2.1</t>
  </si>
  <si>
    <t>12.2.2</t>
  </si>
  <si>
    <t>12.2.3</t>
  </si>
  <si>
    <t>12.2.4</t>
  </si>
  <si>
    <t>12.2.5</t>
  </si>
  <si>
    <t>12.2.6</t>
  </si>
  <si>
    <t>12.2.7</t>
  </si>
  <si>
    <t>12.2.8</t>
  </si>
  <si>
    <t>12.3</t>
  </si>
  <si>
    <t>12.3.1</t>
  </si>
  <si>
    <t>12.3.2</t>
  </si>
  <si>
    <t>12.3.3</t>
  </si>
  <si>
    <t>12.4</t>
  </si>
  <si>
    <t>12.4.1</t>
  </si>
  <si>
    <t>12.4.2</t>
  </si>
  <si>
    <t>12.4.3</t>
  </si>
  <si>
    <t>12.4.4</t>
  </si>
  <si>
    <t>12.4.5</t>
  </si>
  <si>
    <t>12.4.6</t>
  </si>
  <si>
    <t>12.4.7</t>
  </si>
  <si>
    <t>12.4.8</t>
  </si>
  <si>
    <t>12.4.9</t>
  </si>
  <si>
    <t>12.4.10</t>
  </si>
  <si>
    <t>12.4.11</t>
  </si>
  <si>
    <t>12.4.12</t>
  </si>
  <si>
    <t>12.4.13</t>
  </si>
  <si>
    <t>12.4.14</t>
  </si>
  <si>
    <t>12.4.15</t>
  </si>
  <si>
    <t>12.4.16</t>
  </si>
  <si>
    <t>12.4.17</t>
  </si>
  <si>
    <t>12.4.18</t>
  </si>
  <si>
    <t>12.5</t>
  </si>
  <si>
    <t>12.5.1</t>
  </si>
  <si>
    <t>12.5.2</t>
  </si>
  <si>
    <t>12.5.3</t>
  </si>
  <si>
    <t>12.5.4</t>
  </si>
  <si>
    <t>12.5.5</t>
  </si>
  <si>
    <t>12.5.6</t>
  </si>
  <si>
    <t>12.5.7</t>
  </si>
  <si>
    <t>12.5.8</t>
  </si>
  <si>
    <t>12.5.9</t>
  </si>
  <si>
    <t>12.6</t>
  </si>
  <si>
    <t>12.6.1</t>
  </si>
  <si>
    <t>12.6.2</t>
  </si>
  <si>
    <t>12.6.3</t>
  </si>
  <si>
    <t>12.6.4</t>
  </si>
  <si>
    <t>12.6.5</t>
  </si>
  <si>
    <t>12.6.6</t>
  </si>
  <si>
    <t>12.6.7</t>
  </si>
  <si>
    <t>13.1</t>
  </si>
  <si>
    <t>13.1.1</t>
  </si>
  <si>
    <t>13.1.2</t>
  </si>
  <si>
    <t>13.1.3</t>
  </si>
  <si>
    <t>13.1.4</t>
  </si>
  <si>
    <t>13.1.5</t>
  </si>
  <si>
    <t>13.1.6</t>
  </si>
  <si>
    <t>13.2</t>
  </si>
  <si>
    <t>3.2.1</t>
  </si>
  <si>
    <t>3.2.2</t>
  </si>
  <si>
    <t>3.2.3</t>
  </si>
  <si>
    <t>3.2.4</t>
  </si>
  <si>
    <t>3.2.5</t>
  </si>
  <si>
    <t>3.2.6</t>
  </si>
  <si>
    <t>3.2.7</t>
  </si>
  <si>
    <t>3.2.8</t>
  </si>
  <si>
    <t>3.2.9</t>
  </si>
  <si>
    <t>3.2.10</t>
  </si>
  <si>
    <t>3.2.11</t>
  </si>
  <si>
    <t>3.2.12</t>
  </si>
  <si>
    <t>13.3</t>
  </si>
  <si>
    <t>13.3.1</t>
  </si>
  <si>
    <t>13.3.2</t>
  </si>
  <si>
    <t>13.4</t>
  </si>
  <si>
    <t>13.4.1</t>
  </si>
  <si>
    <t>14.1</t>
  </si>
  <si>
    <t>14.1.1</t>
  </si>
  <si>
    <t>14.1.2</t>
  </si>
  <si>
    <t>14.1.3</t>
  </si>
  <si>
    <t>14.1.4</t>
  </si>
  <si>
    <t>14.1.5</t>
  </si>
  <si>
    <t>14.1.6</t>
  </si>
  <si>
    <t>14.1.7</t>
  </si>
  <si>
    <t>14.1.8</t>
  </si>
  <si>
    <t>14.1.9</t>
  </si>
  <si>
    <t>14.1.10</t>
  </si>
  <si>
    <t>14.2</t>
  </si>
  <si>
    <t>14.2.1</t>
  </si>
  <si>
    <t>14.2.2</t>
  </si>
  <si>
    <t>14.2.3</t>
  </si>
  <si>
    <t>14.2.4</t>
  </si>
  <si>
    <t>14.2.5</t>
  </si>
  <si>
    <t>14.2.6</t>
  </si>
  <si>
    <t>14.2.7</t>
  </si>
  <si>
    <t>14.2.8</t>
  </si>
  <si>
    <t>14.2.9</t>
  </si>
  <si>
    <t>14.3</t>
  </si>
  <si>
    <t>14.3.1</t>
  </si>
  <si>
    <t>14.3.2</t>
  </si>
  <si>
    <t>14.3.3</t>
  </si>
  <si>
    <t>14.3.4</t>
  </si>
  <si>
    <t>14.3.5</t>
  </si>
  <si>
    <t>14.3.6</t>
  </si>
  <si>
    <t>14.3.7</t>
  </si>
  <si>
    <t>14.3.8</t>
  </si>
  <si>
    <t>14.3.9</t>
  </si>
  <si>
    <t>14.3.10</t>
  </si>
  <si>
    <t>14.3.11</t>
  </si>
  <si>
    <t>14.3.12</t>
  </si>
  <si>
    <t>14.3.13</t>
  </si>
  <si>
    <t>14.3.14</t>
  </si>
  <si>
    <t>14.3.15</t>
  </si>
  <si>
    <t>14.3.16</t>
  </si>
  <si>
    <t>14.3.17</t>
  </si>
  <si>
    <t>14.4</t>
  </si>
  <si>
    <t>14.4.1</t>
  </si>
  <si>
    <t>14.4.2</t>
  </si>
  <si>
    <t>14.4.3</t>
  </si>
  <si>
    <t>14.4.4</t>
  </si>
  <si>
    <t>14.4.5</t>
  </si>
  <si>
    <t>14.4.6</t>
  </si>
  <si>
    <t>14.4.7</t>
  </si>
  <si>
    <t>14.4.8</t>
  </si>
  <si>
    <t>14.4.9</t>
  </si>
  <si>
    <t>14.4.10</t>
  </si>
  <si>
    <t>14.4.11</t>
  </si>
  <si>
    <t>14.4.12</t>
  </si>
  <si>
    <t>14.4.13</t>
  </si>
  <si>
    <t>14.5</t>
  </si>
  <si>
    <t>14.5.1</t>
  </si>
  <si>
    <t>14.5.2</t>
  </si>
  <si>
    <t>14.5.3</t>
  </si>
  <si>
    <t>14.5.4</t>
  </si>
  <si>
    <t>14.5.5</t>
  </si>
  <si>
    <t>14.6</t>
  </si>
  <si>
    <t>14.6.1</t>
  </si>
  <si>
    <t>14.6.2</t>
  </si>
  <si>
    <t>14.6.3</t>
  </si>
  <si>
    <t>14.6.4</t>
  </si>
  <si>
    <t>14.6.5</t>
  </si>
  <si>
    <t>14.6.6</t>
  </si>
  <si>
    <t>14.6.7</t>
  </si>
  <si>
    <t>14.6.8</t>
  </si>
  <si>
    <t>14.6.9</t>
  </si>
  <si>
    <t>14.6.10</t>
  </si>
  <si>
    <t>14.6.11</t>
  </si>
  <si>
    <t>14.6.12</t>
  </si>
  <si>
    <t>14.6.13</t>
  </si>
  <si>
    <t>14.6.14</t>
  </si>
  <si>
    <t>14.6.15</t>
  </si>
  <si>
    <t>14.6.16</t>
  </si>
  <si>
    <t>14.6.17</t>
  </si>
  <si>
    <t>14.6.18</t>
  </si>
  <si>
    <t>14.6.19</t>
  </si>
  <si>
    <t>14.6.20</t>
  </si>
  <si>
    <t>14.6.21</t>
  </si>
  <si>
    <t>14.7</t>
  </si>
  <si>
    <t>14.7.1</t>
  </si>
  <si>
    <t>14.7.2</t>
  </si>
  <si>
    <t>14.7.3</t>
  </si>
  <si>
    <t>14.8</t>
  </si>
  <si>
    <t>14.8.1</t>
  </si>
  <si>
    <t>14.8.2</t>
  </si>
  <si>
    <t>14.8.3</t>
  </si>
  <si>
    <t>14.8.4</t>
  </si>
  <si>
    <t>14.8.5</t>
  </si>
  <si>
    <t>14.8.6</t>
  </si>
  <si>
    <t>14.8.7</t>
  </si>
  <si>
    <t>14.8.8</t>
  </si>
  <si>
    <t>15.1</t>
  </si>
  <si>
    <t>15.1.1</t>
  </si>
  <si>
    <t>15.2</t>
  </si>
  <si>
    <t>15.2.1</t>
  </si>
  <si>
    <t>15.1.2</t>
  </si>
  <si>
    <t>15.2.2</t>
  </si>
  <si>
    <t>15.3</t>
  </si>
  <si>
    <t>15.3.1</t>
  </si>
  <si>
    <t>16.1</t>
  </si>
  <si>
    <t>16.1.1</t>
  </si>
  <si>
    <t>16.2</t>
  </si>
  <si>
    <t>16.2.1</t>
  </si>
  <si>
    <t>16.1.2</t>
  </si>
  <si>
    <t>16.2.2</t>
  </si>
  <si>
    <t>16.2.3</t>
  </si>
  <si>
    <t>16.3</t>
  </si>
  <si>
    <t>16.3.1</t>
  </si>
  <si>
    <t>17.1</t>
  </si>
  <si>
    <t>17.1.1</t>
  </si>
  <si>
    <t>17.2</t>
  </si>
  <si>
    <t>17.2.1</t>
  </si>
  <si>
    <t>17.3</t>
  </si>
  <si>
    <t>17.3.1</t>
  </si>
  <si>
    <t>17.4</t>
  </si>
  <si>
    <t>17.4.1</t>
  </si>
  <si>
    <t>17.2.2</t>
  </si>
  <si>
    <t>17.4.2</t>
  </si>
  <si>
    <t>17.4.3</t>
  </si>
  <si>
    <t>17.4.4</t>
  </si>
  <si>
    <t>17.4.5</t>
  </si>
  <si>
    <t>17.4.6</t>
  </si>
  <si>
    <t>17.4.7</t>
  </si>
  <si>
    <t>17.4.8</t>
  </si>
  <si>
    <t>17.5</t>
  </si>
  <si>
    <t>17.5.1</t>
  </si>
  <si>
    <t>17.5.2</t>
  </si>
  <si>
    <t>17.6</t>
  </si>
  <si>
    <t>17.6.1</t>
  </si>
  <si>
    <t>17.7</t>
  </si>
  <si>
    <t>17.7.1</t>
  </si>
  <si>
    <t>17.7.2</t>
  </si>
  <si>
    <t>18.1</t>
  </si>
  <si>
    <t>18.2</t>
  </si>
  <si>
    <t>18.3</t>
  </si>
  <si>
    <t>19.1</t>
  </si>
  <si>
    <t>19.1.1</t>
  </si>
  <si>
    <t>19.2</t>
  </si>
  <si>
    <t>19.2.1</t>
  </si>
  <si>
    <t>19.3</t>
  </si>
  <si>
    <t>19.3.1</t>
  </si>
  <si>
    <t>19.1.2</t>
  </si>
  <si>
    <t>19.2.2</t>
  </si>
  <si>
    <t>20.1</t>
  </si>
  <si>
    <t>20.2</t>
  </si>
  <si>
    <t>21.1</t>
  </si>
  <si>
    <t>21.1.1</t>
  </si>
  <si>
    <t>LIMPEZA FINAL</t>
  </si>
  <si>
    <t>21.1.2</t>
  </si>
  <si>
    <t>TOTAL GERAL DA PLANILHA SEM BDI</t>
  </si>
  <si>
    <t>TOTAL GERAL DA PLANILHA COM BDI</t>
  </si>
  <si>
    <t>Blocos, baldrames e cortinas</t>
  </si>
  <si>
    <t>Execução e compactação de base e ou sub base para pavimentação de brita graduada simples</t>
  </si>
  <si>
    <t>Chapisco aplicado no teto, com rolo para textura acrílica, argamassa industrializada com preparo em misturador 300 kg</t>
  </si>
  <si>
    <t>Chapisco aplicado em alvenarias e estruturas de concreto, com colher de pedreiro, argamassa traço 1:3 com preparo em betoneira 400l</t>
  </si>
  <si>
    <t>Execução de reservatório elevado de água (2000 litros) em canteiro de obra, apoiado em estrutura de madeira</t>
  </si>
  <si>
    <t>Execução de central de armadura em canteiro de obra, não incluso mobiliário e equipamentos</t>
  </si>
  <si>
    <t>Execução de central de fôrmas, produção de argamassa ou concreto em canteiro de obra, não incluso mobiliário e equipamentos</t>
  </si>
  <si>
    <t>Execução de depósito em canteiro de obra em chapa de madeira compensada, não incluso mobiliário</t>
  </si>
  <si>
    <t>Execução de guarita em canteiro de obra em chapa de madeira compensada, não incluso mobiliário</t>
  </si>
  <si>
    <t>Tapume com telha metálica</t>
  </si>
  <si>
    <t>Montagem de armadura de estacas, diâmetro = 16,0 mm</t>
  </si>
  <si>
    <t>Montagem de armadura transversal de estacas de seção circular, diâmetro = 6,30 mm</t>
  </si>
  <si>
    <t>Arrasamento mecanico de estaca de concreto armado, diametros de até 40 cm</t>
  </si>
  <si>
    <t>Escavação manual de vala com profundidade menor ou igual a 1,30 m</t>
  </si>
  <si>
    <t>Preparo de fundo de vala com largura menor que 1,50 m</t>
  </si>
  <si>
    <t>Compactação mecânica de solo para execução de radier, piso de concreto ou laje sobre solo, com compactador de solos tipo placa vibratória</t>
  </si>
  <si>
    <t>Reaterro manual de valas com compactação mecanizada</t>
  </si>
  <si>
    <t>Carga, manobra e descarga de solos e materiais granulares em caminhão basculante 6 m³ - carga com escavadeira hidráulica (caçamba de 1,20 m³ / 155 hp) e descarga livre</t>
  </si>
  <si>
    <t>Transporte com caminhão basculante de 6 m³, em via urbana pavimentada, dmt até 30 km</t>
  </si>
  <si>
    <t>Lastro de concreto magro, aplicado em blocos de coroamento ou sapatas, espessura de 5 cm</t>
  </si>
  <si>
    <t>Armação de bloco, viga baldrame ou sapata utilizando aço ca-50 de 6,3 mm</t>
  </si>
  <si>
    <t>Armação de bloco, viga baldrame ou sapata utilizando aço ca-50 de 8 mm</t>
  </si>
  <si>
    <t>Armação de bloco, viga baldrame ou sapata utilizando aço ca-50 de 10 mm</t>
  </si>
  <si>
    <t>Armação de bloco, viga baldrame ou sapata utilizando aço ca-50 de 12,5 mm</t>
  </si>
  <si>
    <t>Armação de bloco, viga baldrame ou sapata utilizando aço ca-50 de 16 mm</t>
  </si>
  <si>
    <t>Armação de bloco, viga baldrame ou sapata utilizando aço ca-50 de 20 mm</t>
  </si>
  <si>
    <t>Armação de bloco, viga baldrame ou sapata utilizando aço ca-50 de 25 mm</t>
  </si>
  <si>
    <t>Laje pré-moldada unidirecional, biapoiada, para forro, enchimento em cerâmica, vigota convencional, altura total da laje (enchimento+capa) = (8+3)</t>
  </si>
  <si>
    <t>Camada separadora para execução de radier, piso de concreto ou laje sobre solo, em lona plástica</t>
  </si>
  <si>
    <t>Barras de transferência, aço ca-25 de 20,0 mm, para execução de pavimento de concreto  fornecimento e instalação</t>
  </si>
  <si>
    <t>Armação para execução de radier, piso de concreto ou laje sobre solo, com uso de tela Q-196</t>
  </si>
  <si>
    <t>Armação para execução de radier, piso de concreto ou laje sobre solo, com uso de tela Q-283</t>
  </si>
  <si>
    <t>Tratamento de junta serrada com tarugo de polietileno e selante à base de silicone</t>
  </si>
  <si>
    <t>Tratamento de junta de dilatação com tarugo de polietileno e selante PU, incluso preenchimento com espuma expansiva PU</t>
  </si>
  <si>
    <t>Execução de juntas de contração para pavimentos de concreto</t>
  </si>
  <si>
    <t>Alvenaria de embasamento com bloco estrutural de concreto de 14x19x29cm e argamassa de assentamento com preparo em betoneira</t>
  </si>
  <si>
    <t>Alvenaria de vedação de blocos vazados de concreto de 9x19x39 cm (espessura 9 cm) e argamassa de assentamento com preparo em betoneira</t>
  </si>
  <si>
    <t>Alvenaria de vedação de blocos vazados de concreto de 14x19x39 cm (espessura 14 cm)  e argamassa de assentamento com preparo em betoneira</t>
  </si>
  <si>
    <t>Impermeabilização de paredes com argamassa de cimento e areia, com aditivo impermeabilizante, e = 2cm</t>
  </si>
  <si>
    <t>Proteção mecânica de superfície horizontal com argamassa de cimento e areia, traço 1:3, e=2cm</t>
  </si>
  <si>
    <t>Proteção mecânica de superficie horizontal com argamassa de cimento e areia, traço 1:3, e=3cm</t>
  </si>
  <si>
    <t>Impermeabilização de superfície com argamassa polimérica / membrana acrílica, 4 demãos, reforçada com véu de poliéster</t>
  </si>
  <si>
    <t>Massa única, para recebimento de pintura, em argamassa traço 1:2:8, preparo mecânico com betoneira 400l, aplicada manualmente em teto, espessura de 10mm, com execução de taliscas</t>
  </si>
  <si>
    <t>Massa única, para recebimento de pintura ou cerâmica, em argamassa traço 1:2:8, preparo mecânico com betoneira 400l, aplicada manualmente em paredes, espessura de 20mm, com execução de taliscas</t>
  </si>
  <si>
    <t>Revestimento cerâmico para paredes em pastilhas de porcelana 5 x 5 cm (placas de 30 x 30 cm), alinhadas a prumo</t>
  </si>
  <si>
    <t>Forro em drywall, para ambientes comerciais, inclusive estrutura de fixação</t>
  </si>
  <si>
    <t>Acabamentos para forro (roda-forro em perfil metálico e plástico)</t>
  </si>
  <si>
    <t>Acabamentos para forro (sanca de gesso montada na obra)</t>
  </si>
  <si>
    <t>PISOS INTERNOS</t>
  </si>
  <si>
    <t>18.01</t>
  </si>
  <si>
    <t>PISOS EXTERNOS</t>
  </si>
  <si>
    <t>Contrapiso em argamassa traço 1:4 (cimento e areia), preparo mecânico com betoneira 400 l, aplicado em áreas secas sobre laje, aderido, acabamento não reforçado, espessura 2cm</t>
  </si>
  <si>
    <t>Execução de passeio (calçada) ou piso de concreto com concreto moldado in loco, usinado, acabamento convencional, espessura 8 cm, armado</t>
  </si>
  <si>
    <t>Lastro com material granular (pedra britada n.2), aplicado em pisos ou lajes sobre solo, espessura de 5 cm</t>
  </si>
  <si>
    <t>PLACAS EM CONCRETO</t>
  </si>
  <si>
    <t>Execução de via em piso intertravado, com bloco retangular de 20 x 10 cm, espessura 10 cm</t>
  </si>
  <si>
    <t>Assentamento de guia (meio-fio) em trecho reto, confeccionada em concreto pré-fabricado, dimensões 100x15x13x20 cm</t>
  </si>
  <si>
    <t>Assentamento de guia (meio-fio) em trecho curvo, confeccionada em concreto pré-fabricado, dimensões 100x15x13x20</t>
  </si>
  <si>
    <t>Execução de sarjeta de concreto usinado, moldada  in loco  em trecho reto, 30 cm base x 15 cm altura</t>
  </si>
  <si>
    <t>Execução de sarjeta de concreto usinado, moldada  in loco  em trecho curvo, 30 cm base x 15 cm altura</t>
  </si>
  <si>
    <t>Aplicação e lixamento de massa látex em teto, duas demãos</t>
  </si>
  <si>
    <t>Aplicação e lixamento de massa látex em paredes, duas demãos</t>
  </si>
  <si>
    <t>Aplicação de fundo selador acrílico em teto, uma demão</t>
  </si>
  <si>
    <t>Aplicação de fundo selador acrílico em paredes, uma demão</t>
  </si>
  <si>
    <t>Aplicação manual de pintura com tinta látex acrílica em teto, duas demãos</t>
  </si>
  <si>
    <t>Aplicação manual de pintura com tinta látex acrílica em paredes, duas demãos</t>
  </si>
  <si>
    <t>Assentamento de guia (meio-fio) em trecho reto, confeccionada em concreto pré-fabricado, dimensões 39x6,5x6,5x19 cm (comprimento x base inferior x base superior x altura), para delimitação de jardins, praças ou passeios</t>
  </si>
  <si>
    <t>Revolvimento e limpeza manual de solo</t>
  </si>
  <si>
    <t>PISO CIMENTADO</t>
  </si>
  <si>
    <t>Piso cimentado, traço 1:3 (cimento e areia), acabamento liso, espessura 2,0 cm, preparo mecânico da argamassa</t>
  </si>
  <si>
    <t>Limpeza de revestimento cerâmico em parede com pano úmido</t>
  </si>
  <si>
    <t>Limpeza de piso de mármore/granito utilizando detergente neutro e escovação manual</t>
  </si>
  <si>
    <t>Limpeza de pia inox com bancada de pedra, inclusive metais correspondentes</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</si>
  <si>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</si>
  <si>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</si>
  <si>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t>
  </si>
  <si>
    <t>Limpeza de janela de vidro com caixilho em aço/alumínio/pvc</t>
  </si>
  <si>
    <t>Alvenaria de vedação de blocos vazados de concreto de 19x19x39 cm (espessura 19 cm) e argamassa de assentamento com preparo em betoneira</t>
  </si>
  <si>
    <t>Lançamento com uso de bomba, adensamento e acabamento de concreto em estruturas</t>
  </si>
  <si>
    <t>Concreto fck = 15Mpa, traço 1:3,4:3,5 (em massa seca de cimento/ areia média/ brita 1) - preparo mecânico com betoneira 400 l</t>
  </si>
  <si>
    <t>Concreto usinado bombeável 30 Mpa</t>
  </si>
  <si>
    <t>Divisória em gesso acartonado, montante 90 mm, com isolamento e lã de rocha</t>
  </si>
  <si>
    <t>Impermeabilização rígida sobre estrutura de concreto por cristalização</t>
  </si>
  <si>
    <t>Impermeabilização de lajes com manta asfáltica 4 mm incluso regularização de base</t>
  </si>
  <si>
    <t>Proteção mecânica de superfície vertical com argamassa de cimento e areia, traço 1:3, e=3cm</t>
  </si>
  <si>
    <t>Portas</t>
  </si>
  <si>
    <t>Mobiliário</t>
  </si>
  <si>
    <t>34640 I</t>
  </si>
  <si>
    <t>Caixa d´água em polietileno 2000 l com tampa</t>
  </si>
  <si>
    <t>INSUMO SINAPI</t>
  </si>
  <si>
    <t>Retroescavadeira sobre pneus 75HP 56KW para apoio em obra</t>
  </si>
  <si>
    <t>Prédio principal</t>
  </si>
  <si>
    <t>Cobertura de vidro</t>
  </si>
  <si>
    <t>Estaca broca de concreto, diâmetro de 25cm, escavação manual com trado concha, com armadura de arranque</t>
  </si>
  <si>
    <t>Obs.: considerada a composição SBC com custos SBC e SINAPI</t>
  </si>
  <si>
    <t>Laje pré moldada para piso carga 350 kg/m2</t>
  </si>
  <si>
    <t>Aço ca-60 4,2 mm ou 5,0 mm ou 6,0 mm ou 7,0 mm</t>
  </si>
  <si>
    <t>COMP 002</t>
  </si>
  <si>
    <t>Laje pré fabricada para piso e= 10 cm</t>
  </si>
  <si>
    <t>COMP 003</t>
  </si>
  <si>
    <t>Laje pré fabricada para piso e= 15 cm</t>
  </si>
  <si>
    <t>COMP 004</t>
  </si>
  <si>
    <t>COMP 005</t>
  </si>
  <si>
    <r>
      <t xml:space="preserve">Materiais para argamassa para estaca raiz </t>
    </r>
    <r>
      <rPr>
        <sz val="10"/>
        <rFont val="Calibri"/>
        <family val="2"/>
      </rPr>
      <t>Ø</t>
    </r>
    <r>
      <rPr>
        <sz val="10"/>
        <rFont val="Arial"/>
        <family val="2"/>
      </rPr>
      <t xml:space="preserve"> 250 mm</t>
    </r>
  </si>
  <si>
    <r>
      <t xml:space="preserve">Materiais para argamassa para estaca raiz </t>
    </r>
    <r>
      <rPr>
        <sz val="10"/>
        <rFont val="Calibri"/>
        <family val="2"/>
      </rPr>
      <t>Ø</t>
    </r>
    <r>
      <rPr>
        <sz val="10"/>
        <rFont val="Arial"/>
        <family val="2"/>
      </rPr>
      <t xml:space="preserve"> 310 mm</t>
    </r>
  </si>
  <si>
    <t>Cimento portland composto CP II-32</t>
  </si>
  <si>
    <t>Areia media</t>
  </si>
  <si>
    <t>cj/dia</t>
  </si>
  <si>
    <t>Cimbramento metálico</t>
  </si>
  <si>
    <t>m3/mês</t>
  </si>
  <si>
    <t>ESTRUTURA</t>
  </si>
  <si>
    <t>Painéis pré fabricados para fachadas</t>
  </si>
  <si>
    <t>STONE</t>
  </si>
  <si>
    <t>(15) 3249-9940</t>
  </si>
  <si>
    <t>Pré fabricado em concreto armado Fck 35 Mpa espessura 9 cm reta, incluindo fabricação e montagem da Stone Pré Fabricados Arquitetônicos</t>
  </si>
  <si>
    <t>Pré fabricado em concreto armado Fck 35 espessura 9 cm inclinada, incluindo fabricação e montagem da Stone Pré Fabricados Arquitetônicos</t>
  </si>
  <si>
    <t>Pré fabricado em concreto armado Fck 35 espessura12 cm curva, incluindo fabricação e montagem da Stone Pré Fabricados Arquitetônicos</t>
  </si>
  <si>
    <t>Cinta de amarração de alvenaria moldada in loco com utilização de blocos canaleta</t>
  </si>
  <si>
    <t>ELIANE</t>
  </si>
  <si>
    <t>TEREZA</t>
  </si>
  <si>
    <t>(21) 9.7222-2198</t>
  </si>
  <si>
    <t>Rodapé porcelanato Eliane Ártico Alpe AC 9,5 x 59 cm</t>
  </si>
  <si>
    <t>Porcelanato Eliane Ártico Alpe AC 59 x 59 cm retificado</t>
  </si>
  <si>
    <t>Juntaplus total branco</t>
  </si>
  <si>
    <t>Ligamax gold extra</t>
  </si>
  <si>
    <t>I 001</t>
  </si>
  <si>
    <t>I 002</t>
  </si>
  <si>
    <t>I 003</t>
  </si>
  <si>
    <t>I 004</t>
  </si>
  <si>
    <t>COMP 006</t>
  </si>
  <si>
    <t>COMP 007</t>
  </si>
  <si>
    <t>COMP 008</t>
  </si>
  <si>
    <t>Rodapé em porcelanato Eliane Ártico Alpe AC 9,5 x 60 cm retificado</t>
  </si>
  <si>
    <t>SINAPI 87263</t>
  </si>
  <si>
    <t>REVESTIMENTOS EM MADEIRA</t>
  </si>
  <si>
    <t>Revestimento em porcelanato Eliane Ártico Alpe AC 60 x 60 cm retificado em áreas maiores que 10 m2</t>
  </si>
  <si>
    <t>COMP 009</t>
  </si>
  <si>
    <t>COMP 010</t>
  </si>
  <si>
    <t>COMP 011</t>
  </si>
  <si>
    <t>COMP 012</t>
  </si>
  <si>
    <t>COMP 013</t>
  </si>
  <si>
    <t>COMP 014</t>
  </si>
  <si>
    <t>COMP 015</t>
  </si>
  <si>
    <t>Revestimento em porcelanato Eliane Ártico Alpe AC 60 x 60 cm retificado em áreas entre 5 e 10 m2</t>
  </si>
  <si>
    <t>Revestimento em porcelanato Eliane Ártico Alpe AC 60 x 60 cm retificado em áreas menores que 5 m2</t>
  </si>
  <si>
    <t>SINAPI 87261</t>
  </si>
  <si>
    <t>Obs.: considerada a composição SINAPI com custos cotados e SINAPI</t>
  </si>
  <si>
    <t>SINAPI 87262</t>
  </si>
  <si>
    <t>SINAPI 88650</t>
  </si>
  <si>
    <t>Lambri em madeira cedrinho para paredes</t>
  </si>
  <si>
    <t>Rodapé de poliestileno h= 10 cm</t>
  </si>
  <si>
    <t>Rodapé cimentado h= 10 cm</t>
  </si>
  <si>
    <t>Enceramento de portas e caixilhos</t>
  </si>
  <si>
    <t>I 005</t>
  </si>
  <si>
    <t>I 006</t>
  </si>
  <si>
    <t>I 007</t>
  </si>
  <si>
    <t>I 008</t>
  </si>
  <si>
    <t>I 009</t>
  </si>
  <si>
    <t>I 010</t>
  </si>
  <si>
    <t>I 011</t>
  </si>
  <si>
    <t>I 012</t>
  </si>
  <si>
    <t>I 013</t>
  </si>
  <si>
    <t>I 014</t>
  </si>
  <si>
    <t>I 015</t>
  </si>
  <si>
    <t>I 016</t>
  </si>
  <si>
    <t>I 017</t>
  </si>
  <si>
    <t>I 018</t>
  </si>
  <si>
    <t>I 019</t>
  </si>
  <si>
    <t>I 020</t>
  </si>
  <si>
    <t>I 021</t>
  </si>
  <si>
    <t>I 022</t>
  </si>
  <si>
    <t>I 023</t>
  </si>
  <si>
    <t>I 024</t>
  </si>
  <si>
    <t>I 025</t>
  </si>
  <si>
    <t>I 027</t>
  </si>
  <si>
    <t>I 028</t>
  </si>
  <si>
    <t>I 029</t>
  </si>
  <si>
    <t>I 030</t>
  </si>
  <si>
    <t>I 031</t>
  </si>
  <si>
    <t>Bancada em granito 5284:5310</t>
  </si>
  <si>
    <t>Conjunto de batente em granito branco Polar com espessura de 20 mm, largura 20 cm, com guarnição de 7 cm, dimensões do conjunto 0,80 x 2,15 m</t>
  </si>
  <si>
    <t>Conjunto de batente em granito branco Polar com espessura de 20 mm, largura 20 cm, com guarnição de 7 cm, dimensões do conjunto 1,00 x 2,15 m</t>
  </si>
  <si>
    <t>ACABAMENTOS</t>
  </si>
  <si>
    <t>Peças em granito</t>
  </si>
  <si>
    <t>Porcelanato</t>
  </si>
  <si>
    <t>Obs.: Frete de R$ 9.080,00 diluído nas peças</t>
  </si>
  <si>
    <t>AQUARIUS</t>
  </si>
  <si>
    <t>(21) 2113-9231</t>
  </si>
  <si>
    <t>GISELA</t>
  </si>
  <si>
    <t>Bancada em granito branco Polar para 1 cuba retangular inox de embutir, com frontão h= 10 cm, dimensões 1,80 x 0,80 m, sem saia</t>
  </si>
  <si>
    <t>Bancada em granito branco Polar para 1 cuba retangular inox de embutir, com frontão h= 10 cm, dimensões 2,30 x 0,60 m</t>
  </si>
  <si>
    <t>Bancada em granito branco Polar para 3 cubas ovais de embutir, com frontão h= 10 cm e saia h= 15 cm, dimensões 2,30 x 0,60 + 0,60 x 0,30 m</t>
  </si>
  <si>
    <t>Peça para patamar em granito branco Polar acabamento polido, dimensões 0,67 x 1,20 m, espessura 20 mm</t>
  </si>
  <si>
    <t>Peça para patamar em granito branco Polar acabamento polido, dimensões 0,57 x 1,20 m, espessura 20 mm</t>
  </si>
  <si>
    <t>Peça para patamar em granito branco Polar acabamento polido, dimensões 0,60 x 1,20 m, espessura 20 mm</t>
  </si>
  <si>
    <t>Espelho em granito branco Polar acabamento polido, dimensões 0,15 x 1,20 m, espessura 20 mm</t>
  </si>
  <si>
    <t>Degrau em granito branco Polar acabamento polido com friso anti derrapante com largura de 5 cm, dimensões 0,29 x 1,20 m, espessura 20 mm</t>
  </si>
  <si>
    <t>Pingadeira em granito branco Polar acabamento polido, dimensões 0,27 x 3,12 m, espessura 20 mm</t>
  </si>
  <si>
    <t>Rodapé em granito branco Polar acabamento apicoado, dimensões 7 x 60 cm, espessura 20 mm</t>
  </si>
  <si>
    <t>Rodapé em granito branco Polar acabamento polido, dimensões 7 x 60 cm, espessura 20 mm</t>
  </si>
  <si>
    <t>Soleira em granito branco Polar acabamento apicoado, largura 20 cm, espessura 20 mm</t>
  </si>
  <si>
    <t>Soleira em granito branco Polar acabamento polido, largura 20 cm, espessura 20 mm</t>
  </si>
  <si>
    <t>Revestimento em granito branco Polar em placas de 60 x 60 cm, espessura 20 mm, acabamento levigado</t>
  </si>
  <si>
    <t>Revestimento em granito branco Polar em placas de 60 x 60 cm, espessura 20 mm, acabamento polido</t>
  </si>
  <si>
    <t>MHM</t>
  </si>
  <si>
    <t>(21) 2712-6594</t>
  </si>
  <si>
    <t>AMANDA</t>
  </si>
  <si>
    <t>MGR</t>
  </si>
  <si>
    <t>(21) 2431-2522</t>
  </si>
  <si>
    <t>LUANA</t>
  </si>
  <si>
    <t>COMP 016</t>
  </si>
  <si>
    <t>COMP 017</t>
  </si>
  <si>
    <t>COMP 018</t>
  </si>
  <si>
    <t>COMP 019</t>
  </si>
  <si>
    <t>COMP 020</t>
  </si>
  <si>
    <t>COMP 021</t>
  </si>
  <si>
    <t>COMP 022</t>
  </si>
  <si>
    <t>COMP 023</t>
  </si>
  <si>
    <t>COMP 024</t>
  </si>
  <si>
    <t>COMP 025</t>
  </si>
  <si>
    <t>COMP 026</t>
  </si>
  <si>
    <t>COMP 027</t>
  </si>
  <si>
    <t>COMP 028</t>
  </si>
  <si>
    <t>COMP 029</t>
  </si>
  <si>
    <t>COMP 030</t>
  </si>
  <si>
    <t>COMP 031</t>
  </si>
  <si>
    <t>COMP 032</t>
  </si>
  <si>
    <t>COMP 033</t>
  </si>
  <si>
    <t>COMP 034</t>
  </si>
  <si>
    <t>COMP 035</t>
  </si>
  <si>
    <t>COMP 036</t>
  </si>
  <si>
    <t>COMP 037</t>
  </si>
  <si>
    <t>COMP 038</t>
  </si>
  <si>
    <t>SINAPI 98671</t>
  </si>
  <si>
    <t>Rejunte cimenticio, qualquer cor</t>
  </si>
  <si>
    <t>SINAPI 98689 ALTERADA 20 CM</t>
  </si>
  <si>
    <t>Marmorista/graniteiro com encargos complementares</t>
  </si>
  <si>
    <t>Argamassa colante tipo AC III</t>
  </si>
  <si>
    <t>SINAPI 98685</t>
  </si>
  <si>
    <t>COMPOSIÇÃO</t>
  </si>
  <si>
    <t>Custos cotados e SINAPI</t>
  </si>
  <si>
    <t>SINAPI 98671 ADAPTADO</t>
  </si>
  <si>
    <t>SBC 190429 ADAPTADA</t>
  </si>
  <si>
    <t>Cimento branco</t>
  </si>
  <si>
    <t>Armário de madeira suspenso revestido em laminado melamínico</t>
  </si>
  <si>
    <t>Armário de madeira sob bancada revestido em laminado melamínico</t>
  </si>
  <si>
    <t>Divisória sanitária em painéis de laminado estrutural TS com acabamento dupla face na cor branca, montantes de alumínio reforçado com pintura eletrostática na cor branca, 15 portas inclusas, referência Neocom ou equivalente</t>
  </si>
  <si>
    <t>FECHAMENTOS</t>
  </si>
  <si>
    <t>Divisórias sanitárias</t>
  </si>
  <si>
    <t>LUCIANO</t>
  </si>
  <si>
    <t>(11) 4341-9600</t>
  </si>
  <si>
    <t>EUROFLEX</t>
  </si>
  <si>
    <t>LUCAS</t>
  </si>
  <si>
    <t>(15) 3222-7981</t>
  </si>
  <si>
    <t>TS</t>
  </si>
  <si>
    <t>DECIO</t>
  </si>
  <si>
    <t>(21) 2659-6324</t>
  </si>
  <si>
    <t>DIVSANIT</t>
  </si>
  <si>
    <t>Divisórias de vidro</t>
  </si>
  <si>
    <t>MOVA</t>
  </si>
  <si>
    <t>MONICA</t>
  </si>
  <si>
    <t>(11) 4382-2089</t>
  </si>
  <si>
    <t>DM</t>
  </si>
  <si>
    <t>BRAULIO</t>
  </si>
  <si>
    <t>(21) 3689-4563</t>
  </si>
  <si>
    <t>COT 026</t>
  </si>
  <si>
    <t>COT 027</t>
  </si>
  <si>
    <t>COT 028</t>
  </si>
  <si>
    <t>COT 029</t>
  </si>
  <si>
    <t>COT 030</t>
  </si>
  <si>
    <t>COT 031</t>
  </si>
  <si>
    <t>COT 032</t>
  </si>
  <si>
    <t>COT 033</t>
  </si>
  <si>
    <t>COT 034</t>
  </si>
  <si>
    <t>COT 035</t>
  </si>
  <si>
    <t>COT 036</t>
  </si>
  <si>
    <t>COT 037</t>
  </si>
  <si>
    <t>COT 038</t>
  </si>
  <si>
    <t>COT 039</t>
  </si>
  <si>
    <t>COT 040</t>
  </si>
  <si>
    <t>COT 041</t>
  </si>
  <si>
    <t>COT 042</t>
  </si>
  <si>
    <t>COT 043</t>
  </si>
  <si>
    <t>COT 044</t>
  </si>
  <si>
    <t>COT 045</t>
  </si>
  <si>
    <t>COT 046</t>
  </si>
  <si>
    <t>COT 047</t>
  </si>
  <si>
    <t>COT 048</t>
  </si>
  <si>
    <t>COT 049</t>
  </si>
  <si>
    <t>COT 050</t>
  </si>
  <si>
    <t>COT 051</t>
  </si>
  <si>
    <t>COT 052</t>
  </si>
  <si>
    <t>COT 053</t>
  </si>
  <si>
    <t>COT 054</t>
  </si>
  <si>
    <t>COT 055</t>
  </si>
  <si>
    <t>COT 056</t>
  </si>
  <si>
    <t>COT 057</t>
  </si>
  <si>
    <t>COT 058</t>
  </si>
  <si>
    <t>COT 059</t>
  </si>
  <si>
    <t>COT 060</t>
  </si>
  <si>
    <t>COT 061</t>
  </si>
  <si>
    <t>COT 062</t>
  </si>
  <si>
    <t>COT 064</t>
  </si>
  <si>
    <t>COT 065</t>
  </si>
  <si>
    <t>COT 066</t>
  </si>
  <si>
    <t>COT 067</t>
  </si>
  <si>
    <t>COT 068</t>
  </si>
  <si>
    <t>COT 069</t>
  </si>
  <si>
    <t>COT 070</t>
  </si>
  <si>
    <t>COT 071</t>
  </si>
  <si>
    <t>COT 072</t>
  </si>
  <si>
    <t>COT 073</t>
  </si>
  <si>
    <t>COT 074</t>
  </si>
  <si>
    <t>Esquadrias de alumínio</t>
  </si>
  <si>
    <t>ARQTIPO</t>
  </si>
  <si>
    <t>(21) 9.6922-0083</t>
  </si>
  <si>
    <t>MAURICIO</t>
  </si>
  <si>
    <t>D' PAULA</t>
  </si>
  <si>
    <t>(21) 3557-4678</t>
  </si>
  <si>
    <t>RICARDO</t>
  </si>
  <si>
    <t>EVF</t>
  </si>
  <si>
    <t>VALDECIR</t>
  </si>
  <si>
    <t>(11) 2240-0570</t>
  </si>
  <si>
    <t>Caixilho veneziana em alumínio com pintura eletrostática na cor branca, para fixação em portas de madeira, dimensões 0,33 x 0,23 m</t>
  </si>
  <si>
    <t>Passarela metálica com estrutura em aço e cobertura em vidro laminado e temperado e= 12 mm, l= 2,19 m conforme projeto de arquitetura</t>
  </si>
  <si>
    <t>COPASUL</t>
  </si>
  <si>
    <t>(21) 3627-9882</t>
  </si>
  <si>
    <t>SARAH</t>
  </si>
  <si>
    <t>(21) 2263-2607</t>
  </si>
  <si>
    <t>BRITTANIA</t>
  </si>
  <si>
    <t>MARCO ANT</t>
  </si>
  <si>
    <t>Os fornecedores 4 e 5 alem de outros 5 não forneceram orçamento até esta data apesar de terem sido solicitados em 6 de maio</t>
  </si>
  <si>
    <t>Kit de porta-pronta de madeira em acabamento melamínico branco, folha pesada ou superpesada, 80 x 210 cm</t>
  </si>
  <si>
    <t>Kit de porta-pronta de madeira em acabamento melamínico branco, folha pesada ou superpesada, 90 x 210 cm</t>
  </si>
  <si>
    <t>Caixilho fixo em alumínio com pintura eletrostática na cor branca com vidro laminado 8 mm, para fixação em portas de madeira, dimensões 0,24 x 1,95 m</t>
  </si>
  <si>
    <t>Incluso nas divisórias</t>
  </si>
  <si>
    <t>Puxador para PNE fixado na porta</t>
  </si>
  <si>
    <t>Elevadores</t>
  </si>
  <si>
    <t>Elevador de carga sem casa de máquinas, capacidade 1500 kg, 3 paradas, saída unilateral, com revestimento em aço inox</t>
  </si>
  <si>
    <t>ALFA</t>
  </si>
  <si>
    <t>EDMUNDO</t>
  </si>
  <si>
    <t>(11) 3277-0399</t>
  </si>
  <si>
    <t>Plantio de grama em placas</t>
  </si>
  <si>
    <t>Plantio de forração</t>
  </si>
  <si>
    <t>Jardineiras de varanda</t>
  </si>
  <si>
    <t>Concreto fck = 25mpa, traço 1:2,3:2,7 (em massa seca de cimento/ areia média/ brita 1) - preparo mecânico com betoneira 400 l</t>
  </si>
  <si>
    <t>Lançamento com uso de baldes, adensamento e acabamento de concreto em estruturas</t>
  </si>
  <si>
    <t>Estucamento de panos de fachada sem vãos do sistema de paredes de concreto em edificações de pavimento único</t>
  </si>
  <si>
    <t>Estrutura metálica e piso</t>
  </si>
  <si>
    <t>DANIELE</t>
  </si>
  <si>
    <t>(11) 9.4235-4420</t>
  </si>
  <si>
    <t>Elevador de passageiros sem casa de máquinas, 3 paradas, saída unilateral, com revestimento em aço inox</t>
  </si>
  <si>
    <t>ATLAS</t>
  </si>
  <si>
    <t>MONSTELL</t>
  </si>
  <si>
    <t>ROMULO</t>
  </si>
  <si>
    <t>(11) 9.7407-7723</t>
  </si>
  <si>
    <t>FERROBRAN</t>
  </si>
  <si>
    <t>(21) 2616-4948</t>
  </si>
  <si>
    <t>MIGUEL</t>
  </si>
  <si>
    <t>LEMARG</t>
  </si>
  <si>
    <t>LEONARDO</t>
  </si>
  <si>
    <t>(21) 9.8881-2886</t>
  </si>
  <si>
    <t>O fornecedor 1 não entrou no na média devido ser de SP. Os demais fornecedores não apresentaram orçamento até esta data</t>
  </si>
  <si>
    <t>Fornecimento e montagem de estrutura metálica em chapas e perfis soldados ASTM A36, perfis laminados ASTM A572, perfis em chapa dobrada civil 300, parafusos ASTM A325 e A307, incluso grades de piso eletrofundidas, jateamento com granalha de aço e aplicação de fundo epóxi dupla função e acabamento em pintura epóxi</t>
  </si>
  <si>
    <t>PISO EM AÇO</t>
  </si>
  <si>
    <t>Piso elevado</t>
  </si>
  <si>
    <t>Piso elevado de aço com preenchimento em concreto celular revestido com placa vinílica 60x60 cm referências Remaster (piso elevado) eTarkett THRU 9205691 (vinílico) ou equivalentes</t>
  </si>
  <si>
    <t>Piso elevado com sistema de apoio plástico revestido com placa de concreto e= 40 mm com tratamento em resina acrílica 60x60 cm referência Stone ou equivalente</t>
  </si>
  <si>
    <t>REMASTER</t>
  </si>
  <si>
    <t>THAINÁ</t>
  </si>
  <si>
    <t>(11) 5197-2623</t>
  </si>
  <si>
    <t>PISOAG</t>
  </si>
  <si>
    <t>(11) 2431-5544</t>
  </si>
  <si>
    <t>RENATO</t>
  </si>
  <si>
    <t>NÃO FABRICA</t>
  </si>
  <si>
    <t>ALCANCE</t>
  </si>
  <si>
    <t>(21) 9.6920-2070</t>
  </si>
  <si>
    <t>VALORES DE MÃO DE OBRA E FRETE</t>
  </si>
  <si>
    <t>Rampa em placas de aço revestida com borracha pastilhada na cor preta</t>
  </si>
  <si>
    <t>Revestimento autonivelante a base de resina epoxídica bicomponente impermeável na cor branca, espessura 4 mm</t>
  </si>
  <si>
    <t>Revestimento multilayer a base de resina epoxídica bicomponente impermeável na cor branca, espessura 3 mm</t>
  </si>
  <si>
    <t>Revestimento multilayer a base de resina epoxídica bicomponente impermeável na cor branca em escadas, espessura 3 mm</t>
  </si>
  <si>
    <t>Piso epoxi</t>
  </si>
  <si>
    <t>POLIPISO</t>
  </si>
  <si>
    <t>(19) 97149-5331</t>
  </si>
  <si>
    <t>DAVID</t>
  </si>
  <si>
    <t>PRIMER PISOS</t>
  </si>
  <si>
    <t>SIMONI</t>
  </si>
  <si>
    <t>(21) 3256-5650</t>
  </si>
  <si>
    <t>MGPX</t>
  </si>
  <si>
    <t>(11) 3990-4646</t>
  </si>
  <si>
    <t>JOÃO</t>
  </si>
  <si>
    <t>Mobilização e desmobilização de guindaste sobre pneus com capacidade para 70 toneladas</t>
  </si>
  <si>
    <t>Mobilização e desmobilização de guindaste sobre pneus com capacidade para 160 toneladas</t>
  </si>
  <si>
    <t>Locação de guindaste sobre pneus com capacidade para 70 toneladas incluso combustível</t>
  </si>
  <si>
    <t>Locação de guindaste sobre pneus com capacidade para 160 toneladas incluso combustível</t>
  </si>
  <si>
    <t>Locação de guindaste para içamento de pré moldados</t>
  </si>
  <si>
    <t>TNF</t>
  </si>
  <si>
    <t>(22) 2020-5950</t>
  </si>
  <si>
    <t>NICHOLAS</t>
  </si>
  <si>
    <t>CAROLINE</t>
  </si>
  <si>
    <t>LOCAR</t>
  </si>
  <si>
    <t>Alimentação 14 dias</t>
  </si>
  <si>
    <t>Alimentação 7 dias</t>
  </si>
  <si>
    <t>Óleo diesel 70 ton</t>
  </si>
  <si>
    <t>Óleo diesel 160 ton</t>
  </si>
  <si>
    <t>PREÇO 
MAT</t>
  </si>
  <si>
    <t>PREÇO 
MO</t>
  </si>
  <si>
    <t>VALOR MÉDIO</t>
  </si>
  <si>
    <t>COT 100</t>
  </si>
  <si>
    <t>COT 101</t>
  </si>
  <si>
    <t>COT 102</t>
  </si>
  <si>
    <t>COT 103</t>
  </si>
  <si>
    <t>COT 104</t>
  </si>
  <si>
    <t>COT 105</t>
  </si>
  <si>
    <t>COT 106</t>
  </si>
  <si>
    <t>COT 107</t>
  </si>
  <si>
    <t>COT 108</t>
  </si>
  <si>
    <t>COT 109</t>
  </si>
  <si>
    <t>COT 110</t>
  </si>
  <si>
    <t>COT 111</t>
  </si>
  <si>
    <t>COT 112</t>
  </si>
  <si>
    <t>COT 113</t>
  </si>
  <si>
    <t>COT 114</t>
  </si>
  <si>
    <t>COT 115</t>
  </si>
  <si>
    <t>COT 116</t>
  </si>
  <si>
    <t>COT 117</t>
  </si>
  <si>
    <t>COT 118</t>
  </si>
  <si>
    <t>COT 119</t>
  </si>
  <si>
    <t>COT 120</t>
  </si>
  <si>
    <t>COT 121</t>
  </si>
  <si>
    <t>COT 122</t>
  </si>
  <si>
    <t>COT 123</t>
  </si>
  <si>
    <t>COT 124</t>
  </si>
  <si>
    <t>COT 125</t>
  </si>
  <si>
    <t>COT 126</t>
  </si>
  <si>
    <t>COT 127</t>
  </si>
  <si>
    <t>COT 128</t>
  </si>
  <si>
    <t>COT 129</t>
  </si>
  <si>
    <t>COT 130</t>
  </si>
  <si>
    <t>COT 131</t>
  </si>
  <si>
    <t>COT 132</t>
  </si>
  <si>
    <t>COT 133</t>
  </si>
  <si>
    <t>COT 134</t>
  </si>
  <si>
    <t>COT 135</t>
  </si>
  <si>
    <t>COT 136</t>
  </si>
  <si>
    <t>COT 137</t>
  </si>
  <si>
    <t>COT 138</t>
  </si>
  <si>
    <t>COT 139</t>
  </si>
  <si>
    <t>COT 140</t>
  </si>
  <si>
    <t>COT 141</t>
  </si>
  <si>
    <t>COT 142</t>
  </si>
  <si>
    <t>COT 143</t>
  </si>
  <si>
    <t>COT 144</t>
  </si>
  <si>
    <t>COT 145</t>
  </si>
  <si>
    <t>COT 146</t>
  </si>
  <si>
    <t>COT 147</t>
  </si>
  <si>
    <t>COT 148</t>
  </si>
  <si>
    <t>COT 149</t>
  </si>
  <si>
    <t>COT 150</t>
  </si>
  <si>
    <t>COT 151</t>
  </si>
  <si>
    <t>COT 152</t>
  </si>
  <si>
    <t>COT 153</t>
  </si>
  <si>
    <t>COT 154</t>
  </si>
  <si>
    <t>COT 155</t>
  </si>
  <si>
    <t>COT 156</t>
  </si>
  <si>
    <t>COT 157</t>
  </si>
  <si>
    <t>COT 158</t>
  </si>
  <si>
    <t>COT 159</t>
  </si>
  <si>
    <t>COT 160</t>
  </si>
  <si>
    <t>COT 161</t>
  </si>
  <si>
    <t>INSTALAÇÕES</t>
  </si>
  <si>
    <t>COT 162</t>
  </si>
  <si>
    <t>COT 163</t>
  </si>
  <si>
    <t>COT 164</t>
  </si>
  <si>
    <t>COT 165</t>
  </si>
  <si>
    <t>COT 166</t>
  </si>
  <si>
    <t>COT 167</t>
  </si>
  <si>
    <t>COT 168</t>
  </si>
  <si>
    <t>COT 169</t>
  </si>
  <si>
    <t>COT 170</t>
  </si>
  <si>
    <t>COT 171</t>
  </si>
  <si>
    <t>COT 172</t>
  </si>
  <si>
    <t>COT 173</t>
  </si>
  <si>
    <t>COT 174</t>
  </si>
  <si>
    <t>COT 175</t>
  </si>
  <si>
    <t>COT 176</t>
  </si>
  <si>
    <t>COT 177</t>
  </si>
  <si>
    <t>COT 178</t>
  </si>
  <si>
    <t>COT 179</t>
  </si>
  <si>
    <t>COT 180</t>
  </si>
  <si>
    <t>COT 181</t>
  </si>
  <si>
    <t>COT 182</t>
  </si>
  <si>
    <t>COT 183</t>
  </si>
  <si>
    <t>COT 184</t>
  </si>
  <si>
    <t>COT 185</t>
  </si>
  <si>
    <t>COT 186</t>
  </si>
  <si>
    <t>COT 187</t>
  </si>
  <si>
    <t>COT 188</t>
  </si>
  <si>
    <t>COT 189</t>
  </si>
  <si>
    <t>COT 190</t>
  </si>
  <si>
    <t>COT 191</t>
  </si>
  <si>
    <t>COT 192</t>
  </si>
  <si>
    <t>COT 193</t>
  </si>
  <si>
    <t>COT 194</t>
  </si>
  <si>
    <t>COT 195</t>
  </si>
  <si>
    <t>COT 196</t>
  </si>
  <si>
    <t>COT 197</t>
  </si>
  <si>
    <t>COT 198</t>
  </si>
  <si>
    <t>COT 199</t>
  </si>
  <si>
    <t>COT 200</t>
  </si>
  <si>
    <t>COT 201</t>
  </si>
  <si>
    <t>COT 202</t>
  </si>
  <si>
    <t>COT 203</t>
  </si>
  <si>
    <t>COT 204</t>
  </si>
  <si>
    <t>COT 205</t>
  </si>
  <si>
    <t>COT 206</t>
  </si>
  <si>
    <t>COT 207</t>
  </si>
  <si>
    <t>COT 208</t>
  </si>
  <si>
    <t>COT 209</t>
  </si>
  <si>
    <t>COT 210</t>
  </si>
  <si>
    <t>COT 211</t>
  </si>
  <si>
    <t>COT 212</t>
  </si>
  <si>
    <t>COT 213</t>
  </si>
  <si>
    <t>COT 214</t>
  </si>
  <si>
    <t>COT 215</t>
  </si>
  <si>
    <t>COT 216</t>
  </si>
  <si>
    <t>COT 217</t>
  </si>
  <si>
    <t>COT 218</t>
  </si>
  <si>
    <t>COT 219</t>
  </si>
  <si>
    <t>COT 220</t>
  </si>
  <si>
    <t>COT 221</t>
  </si>
  <si>
    <t>COT 222</t>
  </si>
  <si>
    <t>COT 223</t>
  </si>
  <si>
    <t>COT 224</t>
  </si>
  <si>
    <t>COT 225</t>
  </si>
  <si>
    <t>COT 226</t>
  </si>
  <si>
    <t>COT 227</t>
  </si>
  <si>
    <t>COT 228</t>
  </si>
  <si>
    <t>COT 229</t>
  </si>
  <si>
    <t>COT 230</t>
  </si>
  <si>
    <t>COT 231</t>
  </si>
  <si>
    <t>COT 232</t>
  </si>
  <si>
    <t>sv</t>
  </si>
  <si>
    <t>Unidade evaporadora para refrigeração de ar externo com capacidade de 7,5 tr  -  tensão 220 v/3f - gás refrigerante R-410A (ref.: AHUQV250ATL - Daikin ou equivalente)</t>
  </si>
  <si>
    <t>Unidade evaporadora para refrigeração de ar externo com capacidade de 10 tr  -  tensão 220 v/3f - gás refrigerante R-410A (ref.: AHUQV300ATL - Daikin ou equivalente)</t>
  </si>
  <si>
    <t>Unidade condensadora do sistema de expansão direta, tipo VRV condensador axial com descarga para cima, capacidade térmica de 95.500 btu/h  -  tensão 220 v - gás refrigerante R-410A (ref.: RHXYQ10ATL - Daikin ou equivalente)</t>
  </si>
  <si>
    <t>Unidade condensadora do sistema de expansão direta, tipo VRV condensador axial com descarga para cima, capacidade térmica de 114.000 btu/h  -  tensão 220 v - gás refrigerante R-410A (ref.: RHXYQ12ATK - Daikin ou equivalente)</t>
  </si>
  <si>
    <t>Unidade condensadora do sistema de expansão direta, tipo VRV condensador axial com descarga para cima, capacidade térmica de 249.000 btu/h  -  tensão 220 v - gás refrigerante R-410A (ref.: RHXYQ26ATL - Daikin ou equivalente)</t>
  </si>
  <si>
    <t>Unidade condensadora do sistema de expansão direta, tipo VRV condensador axial com descarga para cima, capacidade térmica de 278.000 btu/h  -  tensão 220 v - gás refrigerante R-410A (ref.: RHXYQ30ATL - Daikin ou equivalente)</t>
  </si>
  <si>
    <t>Unidade condensadora do sistema de expansão direta, tipo VRV condensador axial com descarga para cima, capacidade térmica de 338.000 btu/h  -  tensão 220 v - gás refrigerante R-410A (ref.: RHXYQ36ATL - Daikin ou equivalente)</t>
  </si>
  <si>
    <t>Unidade condensadora do sistema de expansão direta, tipo VRV condensador axial com descarga para cima, capacidade térmica de 355.000 btu/h  -  tensão 220 v - gás refrigerante R-410A (ref.: RHXYQ38ATL - Daikin ou equivalente)</t>
  </si>
  <si>
    <t>Unidade condensadora do sistema de expansão direta, tipo VRV condensador axial com descarga para cima, capacidade térmica de 372.000 btu/h  -  tensão 220 v - gás refrigerante R-410A (ref.: RHXYQ40ATL - Daikin ou equivalente)</t>
  </si>
  <si>
    <t>Rede frigorigena com tubos de cobre de 1.1/2" sem costura, isolamento térmico, abraçadeiras, limpeza do sistema com nitrogênio, carga de gás R-410A</t>
  </si>
  <si>
    <t>Rede frigorigena com tubos de cobre de 1 1/4" sem costura, isolamento térmico, abraçadeiras, limpeza do sistema com nitrogênio, carga de gás R-410A</t>
  </si>
  <si>
    <t>Rede frigorigena com tubos de cobre de 1 1/8" sem costura, isolamento térmico, abraçadeiras, limpeza do sistema com nitrogênio, carga de gás R-410A</t>
  </si>
  <si>
    <t>Rede frigorigena com tubos de cobre de 1" sem costura, isolamento térmico, abraçadeiras, limpeza do sistema com nitrogênio, carga de gás R-410A</t>
  </si>
  <si>
    <t>Rede frigorigena com tubos de cobre de 7/8" sem costura, isolamento térmico, abraçadeiras, limpeza do sistema com nitrogênio, carga de gás R-410A</t>
  </si>
  <si>
    <t>Rede frigorigena com tubos de cobre de 3/4" sem costura, isolamento térmico, abraçadeiras, limpeza do sistema com nitrogênio, carga de gás R-410A</t>
  </si>
  <si>
    <t>Rede frigorigena com tubos de cobre de 5/8" sem costura, isolamento térmico, abraçadeiras, limpeza do sistema com nitrogênio, carga de gás R-410A</t>
  </si>
  <si>
    <t>Rede frigorigena com tubos de cobre de 1/2", isolamento térmico, abraçadeiras, limpeza do sistema com nitrogênio, carga de gás R-410A</t>
  </si>
  <si>
    <t>Rede frigorigena com tubos de cobre de 3/8" sem costura, isolamento térmico, abraçadeiras, limpeza do sistema com nitrogênio, carga de gás R-410A</t>
  </si>
  <si>
    <t>Rede frigorigena com tubos de cobre de 1/4" sem costura, isolamento térmico, abraçadeiras, limpeza do sistema com nitrogênio, carga de gás R-410A</t>
  </si>
  <si>
    <t>Grelha de insuflamento ref.: VAT-DG 225 x 125 mm pintado na cor branco neve - Trox ou equivalente</t>
  </si>
  <si>
    <t>Grelha de insuflamento ref.: VAT-DG 425 x 165 mm pintado na cor branco neve - Trox ou equivalente</t>
  </si>
  <si>
    <t>Grelha de exaustão/retorno ref.: AR-AG 625 x 325 mm pintado na cor branco neve - Trox ou equivalente</t>
  </si>
  <si>
    <t>Grelha de exaustão/retorno  ref.: AR-AG 1025 x 425 mm pintado na cor branco neve - Trox ou equivalente</t>
  </si>
  <si>
    <t>Grelha de exaustão/retorno ref.: AR-AG 1025 x 525 mm pintado na cor branco neve - Trox ou equivalente ou equivalente</t>
  </si>
  <si>
    <t>Grelha de exaustão/retorno ref.: AR-AG 225 x 125 mm pintado na cor branco neve - Trox ou equivalente ou equivalente</t>
  </si>
  <si>
    <t>Grelha de exaustão/retorno ref.: AR-AG 325 x 225 mm pintado na cor branco neve - Trox ou equivalente ou equivalente</t>
  </si>
  <si>
    <t>Grelha de porta com aletas indevassáveis e dupla moldura fabricante de referência "Trox ou equivalente" - modelo de  referência: AGS- dimensões 325 x 165 mm</t>
  </si>
  <si>
    <t>Grelha de porta com aletas indevassáveis e dupla moldura fabricante de referência "Trox ou equivalente" - modelo de  referência: AGS- dimensões 325 x 225 mm</t>
  </si>
  <si>
    <t>Damper de regulagem de ar ref.: JN-B 200 x 150 mm fabr. Trox ou equivalente</t>
  </si>
  <si>
    <t>Damper de regulagem de ar ref.: JN-B 200 x 200 mm fabr. Trox ou equivalente</t>
  </si>
  <si>
    <t>Damper de regulagem de ar ref.: JN-B 250 x 200 mm fabr. Trox ou equivalente</t>
  </si>
  <si>
    <t>Damper de regulagem de ar ref.: JN-B 250 x 250 mm fabr. Trox ou equivalente</t>
  </si>
  <si>
    <t>Damper de regulagem de ar ref.: JN-B 300 x 150 mm fabr. Trox ou equivalente</t>
  </si>
  <si>
    <t>Damper de regulagem de ar ref.: JN-B 300 x 200 mm fabr. Trox ou equivalente</t>
  </si>
  <si>
    <t>Damper de regulagem de ar ref.: JN-B 300 x 250 mm fabr. Trox ou equivalente</t>
  </si>
  <si>
    <t>Damper de regulagem de ar ref.: JN-B 400 x 200 mm fabr. Trox ou equivalente</t>
  </si>
  <si>
    <t>Damper de regulagem de ar ref.: JN-B 400 x 300 mm fabr. Trox ou equivalente</t>
  </si>
  <si>
    <t>Damper de regulagem de ar ref.: JN-B 500 x 250 mm fabr. Trox</t>
  </si>
  <si>
    <t>Damper de regulagem de ar ref.: JN-B 600 x 300 mm fabr. Trox ou equivalente</t>
  </si>
  <si>
    <t>Damper de sobre pressão ref.: KUL-E 600 x 300 mm fabr. Trox ou equivalente</t>
  </si>
  <si>
    <t>Damper corta-fogo ref.: FKA-TI 200 x 150 mm fabr. Trox ou equivalente</t>
  </si>
  <si>
    <t>Damper corta-fogo ref.: FKA-TI 250 x 200 mm fabr. Trox ou equivalente</t>
  </si>
  <si>
    <t>Damper corta-fogo ref.: FKA-TI 250 x 250 mm fabr. Trox ou equivalente</t>
  </si>
  <si>
    <t>Damper corta-fogo ref.: FKA-TI 300 x 200 mm fabr. Trox ou equivalente</t>
  </si>
  <si>
    <t>Damper corta-fogo ref.: FKA-TI 600 x 300 mm fabr. Trox ou equivalente</t>
  </si>
  <si>
    <t>Difusor para insuflamento de ar e registro do tipo "OB" modelo de referência: ADKJ-AG fabricante de referência "Trox ou equivalente". tamanho 6 com 4 vias.</t>
  </si>
  <si>
    <t>Difusor para insuflamento de ar e registro do tipo "OB" modelo de referência: adq-ag. fabricante de referência "Trox ou equivalente". tamanho 471x268 mm, com 1 via.</t>
  </si>
  <si>
    <t>Difusor para insuflamento de ar e registro do tipo "OB" modelo de referência: ADKJ-AG fabricante de referência "Trox ou equivalente". tamanho 3 com 4 vias.</t>
  </si>
  <si>
    <t>Difusor para insuflamento de ar e registro do tipo "OB" modelo de referência: ADKJ-AG fabricante de referência "Trox ou equivalente". tamanho 4 com 4 vias.</t>
  </si>
  <si>
    <t>Difusor para insuflamento de ar e registro do tipo "OB" modelo de referência: ADKJ-AG fabricante de referência "Trox ou equivalente". tamanho 5 com 4 vias.</t>
  </si>
  <si>
    <t>Difusor linear para insuflamento de ar.  modelo de referência: ALS-DS fabricante de referência "Trox ou equivalente". comprimento total = 6.000 mm com duas vias.</t>
  </si>
  <si>
    <t>Difusor linear para insuflamento de ar.  modelo de referência: ALS-DS fabricante de referência "Trox ou equivalente". comprimento total = 4.000 mm com três vias.</t>
  </si>
  <si>
    <t>Difusor linear para insuflamento de ar.  modelo de referência: ALS-DS fabricante de referência "Trox ou equivalente". comprimento total = 5.000 mm com três vias.</t>
  </si>
  <si>
    <t>Difusor linear para insuflamento de ar.  modelo de referência: ALS-DS fabricante de referência "Trox ou equivalente". comprimento total = 6.000 mm com três vias.</t>
  </si>
  <si>
    <t>Difusor linear para insuflamento de ar.  modelo de referência: ALS-DS fabricante de referência "Trox ou equivalente". comprimento total = 7.000 mm com três vias.</t>
  </si>
  <si>
    <t>Difusor linear para insuflamento de ar.  modelo de referência: ALS-DS fabricante de referência "Trox ou equivalente". comprimento total = 7.300 mm com três vias.</t>
  </si>
  <si>
    <t>Difusor linear para insuflamento de ar.  modelo de referência: ALS-DS fabricante de referência "Trox ou equivalente". comprimento total = 11.000 mm com três vias.</t>
  </si>
  <si>
    <t>Difusor linear para insuflamento de ar.  modelo de referência: ALS-DS fabricante de referência "Trox ou equivalente". comprimento total = 13.600 mm com uma vias.</t>
  </si>
  <si>
    <t>Unidade evaporadora tipo hi-wall para sistema VRV 24.200 btus  - tensão 220 v - gás refrigerante R-410A (ref.: FXAQ63AVM - Daikin ou equivalente)</t>
  </si>
  <si>
    <t>Unidade evaporadora tipo cassete 4 vias para sistema VRV 24.200 btus  - tensão 220 v - gás refrigerante R-410A (ref.: FXFQ63AVM - Daikin ou equivalente)</t>
  </si>
  <si>
    <t>Unidade evaporadora tipo cassete 4 vias para sistema VRV 30.700 btus  - tensão 220 v - gás refrigerante R-410A (ref.: FXFQ80AVM - Daikin ou equivalente)</t>
  </si>
  <si>
    <t>Unidade evaporadora tipo cassete 4 vias para sistema VRV 38.200 btus  - tensão 220 v - gás refrigerante R-410A (ref.: FXFQ100AVM - Daikin ou equivalente)</t>
  </si>
  <si>
    <t>Unidade evaporadora tipo built-in dutado para sistema VRV 9.600 btus  - tensão 220 v - gás refrigerante R-410A (ref.: FXQ25PAVE- Daikin ou equivalente)</t>
  </si>
  <si>
    <t>Unidade evaporadora tipo built-in dutado para sistema VRV 12.300 btus  - tensão 220 v - gás refrigerante R-410A (ref.: FXQ32PAVE - Daikin ou equivalente)</t>
  </si>
  <si>
    <t>Unidade evaporadora tipo built-in dutado para sistema VRV 15.400  btus  - tensão 220 v - gás refrigerante R-410A (ref.: FXQ40PAVE - Daikin ou equivalente)</t>
  </si>
  <si>
    <t>Unidade evaporadora tipo built-in dutado para sistema VRV 19.100  btus  - tensão 220 v - gás refrigerante R-410A (ref.: FXQ50PAVE - Daikin ou equivalente)</t>
  </si>
  <si>
    <t>Unidade evaporadora tipo built-in dutado para sistema VRV 24.200  btus  - tensão 220 v - gás refrigerante R-410A (ref.: FXQ63PAVE- Daikin ou equivalente)</t>
  </si>
  <si>
    <t>Unidade evaporadora tipo built-in dutado para sistema VRV 38.200  btus  - tensão 220 v - gás refrigerante R-410A (ref.: FXQ100PAVE - Daikin ou equivalente)</t>
  </si>
  <si>
    <t>Unidade evaporadora tipo built-in dutado para sistema VRV 47.800  btus  - tensão 220 v - gás refrigerante R-410A (ref.: FXQ125PAVE - Daikin ou equivalente)</t>
  </si>
  <si>
    <t>Unidade evaporadora tipo built-in dutado de alta pressão para sistema VRV 76.400  btus  - tensão 220 v - gás refrigerante R-410A (ref.: FXMQ200PVM - Daikin ou equivalente)</t>
  </si>
  <si>
    <t>HARCO</t>
  </si>
  <si>
    <t>EDGAR</t>
  </si>
  <si>
    <t>LUMAR</t>
  </si>
  <si>
    <t>JOSÉ AUGUSTO</t>
  </si>
  <si>
    <t>Ar condicionado</t>
  </si>
  <si>
    <t>(21) 3764-9181</t>
  </si>
  <si>
    <t>(13) 98115-7032</t>
  </si>
  <si>
    <t>COT 233</t>
  </si>
  <si>
    <t>COT 234</t>
  </si>
  <si>
    <t>COT 235</t>
  </si>
  <si>
    <t>COT 236</t>
  </si>
  <si>
    <t>COT 237</t>
  </si>
  <si>
    <t>COT 238</t>
  </si>
  <si>
    <t>COT 239</t>
  </si>
  <si>
    <t>COT 240</t>
  </si>
  <si>
    <t>COT 241</t>
  </si>
  <si>
    <t>COT 242</t>
  </si>
  <si>
    <t>COT 243</t>
  </si>
  <si>
    <t>COT 244</t>
  </si>
  <si>
    <t>COT 245</t>
  </si>
  <si>
    <t>COT 246</t>
  </si>
  <si>
    <t>COT 247</t>
  </si>
  <si>
    <t>COT 248</t>
  </si>
  <si>
    <t>COT 249</t>
  </si>
  <si>
    <t>COT 250</t>
  </si>
  <si>
    <t>COT 251</t>
  </si>
  <si>
    <t>COT 252</t>
  </si>
  <si>
    <t>COT 253</t>
  </si>
  <si>
    <t>COT 254</t>
  </si>
  <si>
    <t>COT 255</t>
  </si>
  <si>
    <t>COT 256</t>
  </si>
  <si>
    <t>COT 257</t>
  </si>
  <si>
    <t>COT 258</t>
  </si>
  <si>
    <t>COT 259</t>
  </si>
  <si>
    <t>COT 260</t>
  </si>
  <si>
    <t>COT 261</t>
  </si>
  <si>
    <t>COT 262</t>
  </si>
  <si>
    <t>COT 263</t>
  </si>
  <si>
    <t>COT 264</t>
  </si>
  <si>
    <t>COT 265</t>
  </si>
  <si>
    <t>COT 266</t>
  </si>
  <si>
    <t>COT 267</t>
  </si>
  <si>
    <t>COT 268</t>
  </si>
  <si>
    <t>COT 269</t>
  </si>
  <si>
    <t>COT 270</t>
  </si>
  <si>
    <t>COT 271</t>
  </si>
  <si>
    <t>COT 272</t>
  </si>
  <si>
    <t>COT 273</t>
  </si>
  <si>
    <t>COT 274</t>
  </si>
  <si>
    <t>COT 275</t>
  </si>
  <si>
    <t>COT 276</t>
  </si>
  <si>
    <t>COT 277</t>
  </si>
  <si>
    <t>COT 278</t>
  </si>
  <si>
    <t>COT 279</t>
  </si>
  <si>
    <t>COT 280</t>
  </si>
  <si>
    <t>COT 281</t>
  </si>
  <si>
    <t>COT 282</t>
  </si>
  <si>
    <t>COT 283</t>
  </si>
  <si>
    <t>COT 284</t>
  </si>
  <si>
    <t>COT 285</t>
  </si>
  <si>
    <t>COT 286</t>
  </si>
  <si>
    <t>COT 287</t>
  </si>
  <si>
    <t>COT 288</t>
  </si>
  <si>
    <t>COT 289</t>
  </si>
  <si>
    <t>COT 290</t>
  </si>
  <si>
    <t>COT 291</t>
  </si>
  <si>
    <t>COT 292</t>
  </si>
  <si>
    <t>COT 293</t>
  </si>
  <si>
    <t>COT 294</t>
  </si>
  <si>
    <t>COT 295</t>
  </si>
  <si>
    <t>COT 296</t>
  </si>
  <si>
    <t>COT 297</t>
  </si>
  <si>
    <t>COT 298</t>
  </si>
  <si>
    <t>COT 299</t>
  </si>
  <si>
    <t>COT 300</t>
  </si>
  <si>
    <t>COT 301</t>
  </si>
  <si>
    <t>COT 302</t>
  </si>
  <si>
    <t>COT 303</t>
  </si>
  <si>
    <t>COT 304</t>
  </si>
  <si>
    <t>Sinalizador para balizamento aéreo Duplo p/ duas Lâmpadas 60W c/ Relé Fotoelétrico 127 V</t>
  </si>
  <si>
    <t>Quadro Tranferencia Automática composto por chave de transferência automatica 2.500A e Controlador Multiprocessado para supervisão. (QTA)</t>
  </si>
  <si>
    <t>Quadro de Força para elevador, composto por sistema de força trifásico com tensão nominal de 220V e frequência de 60Hz para elevador de 12,0cv, com chave seccionadora geral de 50A, conforme especificações do fabricante</t>
  </si>
  <si>
    <t>Quadro de Força para bombas de incêndio, principal  + Jockey. Sistema de Sprinklers, partida estrela-triângulo eletromecânica e comunicação com
pressostatos. Principal 30 kW e Jockey 1,3 kW ( vide diagrama típico de comando )</t>
  </si>
  <si>
    <t>Quadro de Força para pressurizador de rede potável/não potável composto por sistema de força trifásico com tensão nominal de 220V e frequência de 60Hz para 2 pressurizadores de 3,0cv com disjuntor motor geral de 16A  (este quadro geralmente é  fornecido com o conjunto moto bombas)</t>
  </si>
  <si>
    <t>QLT.1PAV, Fornecimento, comissionamento e instalação, conforme diagrama</t>
  </si>
  <si>
    <t>QLT.2PAV, Fornecimento, comissionamento e instalação, conforme diagrama</t>
  </si>
  <si>
    <t>QLT.TER, Fornecimento, comissionamento e instalação,  conforme diagrama</t>
  </si>
  <si>
    <t>QLT.INF, Fornecimento, comissionamento e instalação,  conforme diagrama</t>
  </si>
  <si>
    <t>QF.AR.COND.TER, Fornecimento, comissionamento e instalação,  conforme diagrama</t>
  </si>
  <si>
    <t>QF.AR.COND.1PAV, Fornecimento, comissionamento e instalação,  conforme diagrama</t>
  </si>
  <si>
    <t>QF.AR.COND.2PAV, Fornecimento, comissionamento e instalação,  conforme diagrama</t>
  </si>
  <si>
    <t>QDF.AR.COND., Fornecimento, comissionamento e instalação,  conforme diagrama</t>
  </si>
  <si>
    <t>COT 305</t>
  </si>
  <si>
    <t>COT 306</t>
  </si>
  <si>
    <t>COT 307</t>
  </si>
  <si>
    <t>COT 308</t>
  </si>
  <si>
    <t>COT 309</t>
  </si>
  <si>
    <t>COT 310</t>
  </si>
  <si>
    <t>par</t>
  </si>
  <si>
    <t>Quadro Geral de Baixa Tensão TTA ou PTTA conforme ABNT NBR IEC 60439-1, composto por barramentos de fase (03) , neutro e terra. Dispositivo de Proteção contra Surtos nas fases e neutro, protegido por chave seccionadora 125A, aterramento da porta. Disjuntor geral  de 2.500A/40kA com módulo de interface Modbus (Micrologic), e disjuntores secundários conforme diagrama de projeto (QGBT)</t>
  </si>
  <si>
    <t xml:space="preserve">Luminária led, 78w, decorativa para instalação em topo de poste reto com encaixe para postes de 60mm de diâmetro. equipada com módulo led e driver com índice de proteção ip67, corpo em perfil de alumínio extrudado e chapa de alumínio, acabamento em tinta pó poliéster de alta resistência na cor preto microtexturizado aplicado por processo eletrostático, garantindo camada mínima de 50µm. lente: em pmma injetado com elevado índice de transmissão luminosa, proporcionando controle preciso da luz vedação em silicone  equipada com 2 módulos. </t>
  </si>
  <si>
    <t xml:space="preserve">Luminária led, 150w, decorativa para instalação em topo de poste reto com encaixe para postes de 60mm de diâmetro. equipada com módulo led e driver com índice de proteção ip67, corpo em perfil de alumínio extrudado e chapa de alumínio, acabamento em tinta pó poliéster de alta resistência na cor preto microtexturizado aplicado por processo eletrostático, garantindo camada mínima de 50µm lente em pmma injetado com elevado índice de transmissão luminosa, proporcionando controle preciso da luz vedação em silicone.  equipada com 3 módulos </t>
  </si>
  <si>
    <t>ELETROCALHAS E PERFILADOS</t>
  </si>
  <si>
    <t>Vaso sanitário sifonado com caixa acoplada louça branca, incluso engate flexível em metal cromado, 1/2"  x 40cm</t>
  </si>
  <si>
    <t>Vaso sanitario sifonado convencional para PNE sem furo frontal com louça branca sem assento, incluso conjunto de ligação para bacia sanitária ajustável</t>
  </si>
  <si>
    <t>Cuba de embutir oval em louça branca, 35 x 50cm ou equivalente, incluso válvula e sifão tipo garrafa em metal cromado</t>
  </si>
  <si>
    <t>Lavatório louça branca com coluna, 45 x 55cm ou equivalente, padrão médio</t>
  </si>
  <si>
    <t>Mictório sifonado louça branca  padrão médio</t>
  </si>
  <si>
    <t>Tanque de louça branca com coluna, 30l ou equivalente</t>
  </si>
  <si>
    <t>Cuba de embutir de aço inoxidável média, incluso válvula tipo americana e sifão tipo garrafa em metal cromado</t>
  </si>
  <si>
    <t>Válvula em metal cromado 1.1/2 x 1.1/2 para tanque ou lavatório, com ou sem ladrão</t>
  </si>
  <si>
    <t>Sifão do tipo garrafa em metal cromado 1 x 1.1/2</t>
  </si>
  <si>
    <t>Engate flexível em inox, 1/2  x 40cm</t>
  </si>
  <si>
    <t>Torneira cromada 1/2 ou 3/4 para tanque</t>
  </si>
  <si>
    <t>Barra de apoio reta, em aco inox polido, comprimento 70 cm,  fixada na parede</t>
  </si>
  <si>
    <t>Barra de apoio reta, em aco inox polido, comprimento 80 cm,  fixada na parede</t>
  </si>
  <si>
    <t>Rodapé em placa cimentícia de microconcreto dimensões 60 x 10 x 2 cm, retificado, acabamento levigado na cor branca com aplicação de resina acrílica</t>
  </si>
  <si>
    <t>Piso em placa cimentícia de microconcreto dimensões 60 x 60 x 3 cm, retificada, acabamento levigado na cor branca com aplicação de resina acrílica</t>
  </si>
  <si>
    <t>Piso em placa cimentícia 60 x 60 cm levigado incluso frete e acabamento em resina acrílica</t>
  </si>
  <si>
    <t>Rodapé em placa cimentícia 60 x 10 cm levigado incluso frete e acabamento em resina acrílica</t>
  </si>
  <si>
    <t>Mão de obra especializada para assentamento de piso cimentício</t>
  </si>
  <si>
    <t>Argamassa para rejuntamento de piso cimentício</t>
  </si>
  <si>
    <t>Nivelamento laser</t>
  </si>
  <si>
    <t>Execução de piso nivelado a laser</t>
  </si>
  <si>
    <t>FORTALEZA</t>
  </si>
  <si>
    <t>(15) 3418-9181</t>
  </si>
  <si>
    <t>ABSOLUTA</t>
  </si>
  <si>
    <t>EDUARDO</t>
  </si>
  <si>
    <t>(11) 2307-2210</t>
  </si>
  <si>
    <t>ENGEGRAN</t>
  </si>
  <si>
    <t>(11) 2356-6701</t>
  </si>
  <si>
    <t>FELIPE</t>
  </si>
  <si>
    <t>Pintura betuminosa sobre peças de fundação</t>
  </si>
  <si>
    <t>PINI 10.101.000005.SER</t>
  </si>
  <si>
    <t>Tinta asfaltica impermeabilizante dispersa em agua, para materiais cimenticios</t>
  </si>
  <si>
    <t>Execução e compactação de aterro com solo predominantemente argiloso - exclusive solo, escavação, carga e transporte</t>
  </si>
  <si>
    <t>Composição PINI com custos SINAPI</t>
  </si>
  <si>
    <t>Escavação horizontal, incluindo carga, descarga e transporte em solo de 1a categoria com trator de esteiras (100hp/lâmina: 2,19m3) e caminhão basculante de 10m3, dmt até 200m. af_07/2020</t>
  </si>
  <si>
    <t>Retroescavadeira capacidade 0,76 m3</t>
  </si>
  <si>
    <t>SIURB</t>
  </si>
  <si>
    <t>Retroescavadeira para apoio na obra</t>
  </si>
  <si>
    <t>Operador de máquinas e tratores diversos com encargos complementares</t>
  </si>
  <si>
    <t>Óleo diesel combustivel comum</t>
  </si>
  <si>
    <t>ESTIMADOS</t>
  </si>
  <si>
    <t>EST 001</t>
  </si>
  <si>
    <t>EST 002</t>
  </si>
  <si>
    <t>Demolição do edifício E</t>
  </si>
  <si>
    <t>Demolição do edifício F</t>
  </si>
  <si>
    <t>Demolição do edifício G</t>
  </si>
  <si>
    <t>Demolição do edifício H</t>
  </si>
  <si>
    <t>Demolição do edifício I</t>
  </si>
  <si>
    <t>Demolição do edifício J</t>
  </si>
  <si>
    <t>Demolição de quadra de esportes</t>
  </si>
  <si>
    <t>Demolição do edifício L</t>
  </si>
  <si>
    <t>Demolição do edifício M</t>
  </si>
  <si>
    <t>EST 003</t>
  </si>
  <si>
    <t>EST 004</t>
  </si>
  <si>
    <t>EST 005</t>
  </si>
  <si>
    <t>EST 006</t>
  </si>
  <si>
    <t>EST 007</t>
  </si>
  <si>
    <t>EST 008</t>
  </si>
  <si>
    <t>EST 009</t>
  </si>
  <si>
    <t>Cola a base de resina sintetica para chapa de laminado melaminico</t>
  </si>
  <si>
    <t>Dobradica em aco/ferro, 3 1/2" x  3", e= 1,9  a 2 mm, com anel,  cromado ou zincado, tampa bola, com parafusos</t>
  </si>
  <si>
    <t>Espuma expansiva de poliuretano, aplicacao manual - 500 ml</t>
  </si>
  <si>
    <t>Fechadura roseta redonda para porta externa, em aco inox (maquina, testa e contra-testa) e em zamac (macaneta, lingueta e trincos) com acabamento cromado, maquina de 40 mm, incluindo chave tipo cilindro</t>
  </si>
  <si>
    <t>Fecho quebra unha, em latao com acabamento cromado, de embutir, com comando deslizante, altura de 22 cm, largura minima de 1,90 cm e espessura minima de 1,90 mm</t>
  </si>
  <si>
    <t>P-08 - Porta dupla de madeira com acabamento em laminado melamínico texturizado, incluindo ferragens, batentes em chapa de aço dobrada, para instalação de visor em caixilho de alumínio com vidro laminado 6 mm fixo 0,24 x 1,95 m, dimensões 1,32 x 2,11 m</t>
  </si>
  <si>
    <t>P-11 - Porta dupla de madeira com acabamento em laminado melamínico texturizado, incluindo ferragens, batentes em chapa de aço dobrada, para instalação de dois visores em caixilho de alumínio com vidro laminado 6 mm fixo 0,24 x 1,95 m, dimensões 1,32 x 2,11 m</t>
  </si>
  <si>
    <t>SBC 110310</t>
  </si>
  <si>
    <t>Porta de madeira lisa 0,60 x 2,10 m</t>
  </si>
  <si>
    <t>Batente cim chapa dobrada para pintura</t>
  </si>
  <si>
    <t>769SBC</t>
  </si>
  <si>
    <t>Custos SBC, SIURB e SINAPI</t>
  </si>
  <si>
    <t>P-13 - Porta dupla de madeira com acabamento em laminado melamínico texturizado, incluindo ferragens, batentes em chapa de aço dobrada, dimensões 1,60 x 2,11 m</t>
  </si>
  <si>
    <t>699SBC</t>
  </si>
  <si>
    <t>Porta de madeira lisa 0,80 x 2,10 m</t>
  </si>
  <si>
    <t>768SBC</t>
  </si>
  <si>
    <t>Porta de madeira lisa 0,70 x 2,10 m</t>
  </si>
  <si>
    <t>Porta completa para armário (shaft) duas folhas revestida em laminado melamínico, 1,80 x 2,10 m</t>
  </si>
  <si>
    <t>COT 063</t>
  </si>
  <si>
    <t>Porta dupla lisa em chapa de aço com pintura eletrostática na cor cinza claro, completa, dimensões 1,80 x 2,10 m</t>
  </si>
  <si>
    <t>Porta simples lisa em chapa de aço com pintura eletrostática na cor cinza claro, completa, dimensões 0,90 x 2,10 m</t>
  </si>
  <si>
    <t>Porta dupla lisa em chapa de aço com pintura eletrostática na cor cinza claro, completa, dimensões 1,60 x 2,10 m</t>
  </si>
  <si>
    <t>Porta simples lisa em chapa de aço com pintura eletrostática na cor cinza claro, completa, dimensões 1,05 x 2,10 m</t>
  </si>
  <si>
    <t>Porta corta fogo em chapa galvanizada, dimensões 1,80 x 2,10 m</t>
  </si>
  <si>
    <t>Porta corta-fogo em chapa galvanizada, dimensões 0,90 x 210 m</t>
  </si>
  <si>
    <t>Escada marinheiro em perfis de aço com guarda corpo</t>
  </si>
  <si>
    <t>Guarda corpo e corrimãos</t>
  </si>
  <si>
    <t>PEÇAS EM VIDRO E AÇO</t>
  </si>
  <si>
    <t>Corrimão duplo para parede em aço galvanizado</t>
  </si>
  <si>
    <t>Guarda corpo em vidro laminado e temperado e= 12 mm, h= 1,18 m com afastamento de 0,11 m do piso, instalação reta</t>
  </si>
  <si>
    <t>Guarda corpo em vidro laminado e temperado e= 12 mm, h= 1,18 m com afastamento de 0,11 m do piso, instalação inclinada</t>
  </si>
  <si>
    <t>Corrimão duplo em aço inox polido para instalação em guarda corpo de vidro</t>
  </si>
  <si>
    <t>Guarda corpo com corrimão duplo para instalação em rampas PNE nos pavimentos</t>
  </si>
  <si>
    <t>Terra vegetal tratada para plantio</t>
  </si>
  <si>
    <t>SBC 201033 AJUSTADA</t>
  </si>
  <si>
    <t>Terra vegetal (granel)</t>
  </si>
  <si>
    <t>Pintura em verniz acrílico duas demãos sobre concreto aparente</t>
  </si>
  <si>
    <t>ESQUADRIAS METÁLICAS</t>
  </si>
  <si>
    <t>Pintura com tinta alquídica de fundo e acabamento em esmalte sintético aplicada a rolo ou pincel sobre superfícies metálicas</t>
  </si>
  <si>
    <t>Limpeza de piso cerâmico, cimentício, epoxi ou porcelanato com pano úmido</t>
  </si>
  <si>
    <t>Limpeza de pisos cimentados</t>
  </si>
  <si>
    <t>Limpeza de pisos vinílicos com aplicação de cera</t>
  </si>
  <si>
    <t>Espelho cristal incolor 5mm aplicado em paredes</t>
  </si>
  <si>
    <t>Espelho cristal incolor 5 mm com fixação inclinada</t>
  </si>
  <si>
    <t>Isolamento com lã de rocha em paredes</t>
  </si>
  <si>
    <t>Isolamento com lã de rocha em forros</t>
  </si>
  <si>
    <t>Acabamento para válvula de descarga embutida referência Benefit Docol ou equivalente</t>
  </si>
  <si>
    <t>Caixa de descarga embutida tipo Montana M900 ou equivalente</t>
  </si>
  <si>
    <t xml:space="preserve">Válvula de descarga para mictório com sensor </t>
  </si>
  <si>
    <t>Torneira automática de mesa para lavatório referência Docol Pressmatic Compact ou equivalente</t>
  </si>
  <si>
    <t>Torneira de mesa bica alta para cozinha referência Deca Izy ou equivalente</t>
  </si>
  <si>
    <t>Cabide cromado referência Deca Flex 2060.C.FLX ou equivalente</t>
  </si>
  <si>
    <t>Comodato</t>
  </si>
  <si>
    <t>Brises em alumínio para pele de vidro (a definir)</t>
  </si>
  <si>
    <t>Anel tátil para corrimão</t>
  </si>
  <si>
    <t>Tubo de pvc soldável 60 mm com conexões</t>
  </si>
  <si>
    <t>Tubo de pvc soldável 50 mm com conexões</t>
  </si>
  <si>
    <t>Tubo de pvc soldável 40 mm com conexões</t>
  </si>
  <si>
    <t>Tubo de pvc soldável 32 mm com conexões</t>
  </si>
  <si>
    <t>Tubo de pvc soldável 25 mm com conexões</t>
  </si>
  <si>
    <t>Hidrômetro DN 25 (¾ ), 5,0 m³/h fornecimento e instalação</t>
  </si>
  <si>
    <t>Torneira de boia para caixa d'água, roscável, 1" - fornecimento e instalação</t>
  </si>
  <si>
    <t>Registro de gaveta bruto, latão, roscável, 3/4", com acabamento e canopla cromados</t>
  </si>
  <si>
    <t>Registro de gaveta bruto, latão, roscável, 1", com acabamento e canopla cromados</t>
  </si>
  <si>
    <t>Registro de gaveta bruto, latão, roscável, 2"</t>
  </si>
  <si>
    <t>Caixa enterrada hidráulica retangular em alvenaria com tijolos cerâmicos maciços, dimensões internas: 0,6x0,6x0,6 m para rede de esgoto</t>
  </si>
  <si>
    <t>Caixa de gordura simples (capacidade: 36 l), retangular, em alvenaria com blocos de concreto, dimensões internas = 0,2 x 0,4 m, altura interna = 0,8 m</t>
  </si>
  <si>
    <t>Caixa sifonada em pvc 150 x 185 x 75 mm</t>
  </si>
  <si>
    <t>Tubo pvc, série R, água pluvial, DN 75 mm</t>
  </si>
  <si>
    <t>Tubo pvc, série R, água pluvial, DN 150 mm</t>
  </si>
  <si>
    <t>Tubo de pvc DN 200 mm, junta elástica</t>
  </si>
  <si>
    <t>Tubo de pvc DN 300 mm, junta elástica</t>
  </si>
  <si>
    <t>Tubo pvc, série R, água pluvial, DN 100 mm</t>
  </si>
  <si>
    <t>Caixa enterrada hidráulica retangular em alvenaria com tijolos cerâmicos maciços, dimensões internas: 0,60x0,60x0,60 m para rede de drenagem</t>
  </si>
  <si>
    <t>Caixa enterrada hidráulica retangular em alvenaria com tijolos cerâmicos maciços, dimensões internas: 0,80x0,80x0,60 m para rede de drenagem</t>
  </si>
  <si>
    <t>Caixa enterrada hidráulica retangular em alvenaria com tijolos cerâmicos maciços, dimensões internas: 1x1x0,60 m para rede de drenagem</t>
  </si>
  <si>
    <t>Grelha de ferro fundido simples com requadro, 300 x 1000 mm, assentada com argamassa 1 : 3 cimento: areia</t>
  </si>
  <si>
    <t>SINAPI 96765 COM ADAPTAÇÃO</t>
  </si>
  <si>
    <t>C96765</t>
  </si>
  <si>
    <t>SINAPI ADAP</t>
  </si>
  <si>
    <t>Abrigo para hidrante, 90x60x17cm, com registro globo angular 45 graus 2 1/2", adaptador storz 2 1/2", 2 mangueiras de incêndio 15m, redução 2 1/2" x 1 1/2" e esguicho em latão 1 1/2"</t>
  </si>
  <si>
    <t>Mangueira de incendio, tipo 1, de 1 1/2", comprimento = 15 m, tecido em fio de poliester e tubo interno em borracha sintetica, com unioes engate rapido</t>
  </si>
  <si>
    <t>Chave dupla para conexoes tipo storz, engate rapido 1 1/2" x 2 1/2", em latao, para instalacao predial combate a incendio</t>
  </si>
  <si>
    <t>Caixa de incendio/abrigo para mangueira, de sobrepor/externa, com 90 x 60 x 17 cm, em chapa de aco, porta com ventilacao, visor com a inscricao "incendio", suporte/cesta interna para a mangueira, pintura eletrostatica vermelha</t>
  </si>
  <si>
    <t>Registro ou valvula globo angular em latao, para hidrantes em instalacao predial de incendio, 45 graus, diametro de 2 1/2", com volante, classe de pressao de ate 200 psi</t>
  </si>
  <si>
    <t>Adaptador, em latao, engate rapido1 1/2" x rosca interna 5 fios 2 1/2",  para instalacao predial de combate a incendio</t>
  </si>
  <si>
    <t>Bucha de nylon, diametro do furo 8 mm, comprimento 40 mm, com parafuso de rosca soberba, cabeca chata, fenda simples, 4,8 x 50 mm</t>
  </si>
  <si>
    <t>Esguicho jato regulavel, tipo elkhart, engate rapido 1 1/2", para combate a incendio</t>
  </si>
  <si>
    <t>Composição SINAPI COM A RETIRADA DA MANGUEIRA DE 20 M E INCLUSÃO DE DUAS MANGUEIRAS DE 15 M</t>
  </si>
  <si>
    <t>Tubo em cobre rígido, DN 66 mm, classe E, sem isolamento</t>
  </si>
  <si>
    <t>Extintor de incêndio portátil com carga de água pressurizada de 10 l, classe A</t>
  </si>
  <si>
    <t>Extintor de incêndio portátil com carga de PQS de 4 kg, classe BC</t>
  </si>
  <si>
    <t>Hidrante subterrâneo predial (com curva longa e caixa), DN 75 mm</t>
  </si>
  <si>
    <t>Tubo pvc, serie normal, esgoto predial, DN 40 mm</t>
  </si>
  <si>
    <t>Tubo pvc, serie normal, esgoto predial, DN 50 mm</t>
  </si>
  <si>
    <t>Tubo pvc, serie normal, esgoto predial, DN 75 mm</t>
  </si>
  <si>
    <t>Tubo pvc, serie normal, esgoto predial, DN 100 mm</t>
  </si>
  <si>
    <t>Sirene audio visual para alarme de incêndio</t>
  </si>
  <si>
    <t>Acionador manual endereçavel</t>
  </si>
  <si>
    <t>Central de alarme de incêncio endereçavel</t>
  </si>
  <si>
    <t>Câmera externa Bullet infravermelho</t>
  </si>
  <si>
    <t>Câmera Dome full HD infravermelho</t>
  </si>
  <si>
    <t>Patch pannel cat 6 24 portas</t>
  </si>
  <si>
    <t>Switch 8 portas 10/100 Mbps</t>
  </si>
  <si>
    <t>Switch 24 portas</t>
  </si>
  <si>
    <t>Guia horizontal de cabos padrão 19"</t>
  </si>
  <si>
    <t>Distribuidor óptico interno 24 fibras</t>
  </si>
  <si>
    <t>Caixa para piso com tomada RJ45</t>
  </si>
  <si>
    <t>Cabo de fibra óptica multimodo 6 fibras</t>
  </si>
  <si>
    <t>Cordão óptico duplex conectores diversos 2,50 m</t>
  </si>
  <si>
    <t>Cabo de cobre blindado para alarme de incendio 2 x 1,5 mm</t>
  </si>
  <si>
    <t>Cabo UTP CAT 6</t>
  </si>
  <si>
    <t>3.11</t>
  </si>
  <si>
    <t>4.1.1.1</t>
  </si>
  <si>
    <t>4.1.1.2</t>
  </si>
  <si>
    <t>4.1.1.3</t>
  </si>
  <si>
    <t>4.1.1.4</t>
  </si>
  <si>
    <t>4.1.1.5</t>
  </si>
  <si>
    <t>4.1.1.6</t>
  </si>
  <si>
    <t>4.1.1.7</t>
  </si>
  <si>
    <t>4.1.1.8</t>
  </si>
  <si>
    <t>4.1.1.9</t>
  </si>
  <si>
    <t>4.1.1.10</t>
  </si>
  <si>
    <t>4.1.1.11</t>
  </si>
  <si>
    <t>4.1.1.12</t>
  </si>
  <si>
    <t>4.1.1.13</t>
  </si>
  <si>
    <t>4.1.1.14</t>
  </si>
  <si>
    <t>4.1.1.15</t>
  </si>
  <si>
    <t>4.1.1.16</t>
  </si>
  <si>
    <t>4.2.1.3</t>
  </si>
  <si>
    <t>4.2.2.3</t>
  </si>
  <si>
    <t>4.2.2.12</t>
  </si>
  <si>
    <t>2.1.3.1</t>
  </si>
  <si>
    <t>2.1.2.1</t>
  </si>
  <si>
    <t>2.1.2.2</t>
  </si>
  <si>
    <t>2.1.2.3</t>
  </si>
  <si>
    <t>4.1.2.1</t>
  </si>
  <si>
    <t>5.1.13</t>
  </si>
  <si>
    <t>5.1.14</t>
  </si>
  <si>
    <t>5.1.15</t>
  </si>
  <si>
    <t>5.1.2.1</t>
  </si>
  <si>
    <t>5.1.2.2</t>
  </si>
  <si>
    <t>5.1.2.3</t>
  </si>
  <si>
    <t>5.1.2.4</t>
  </si>
  <si>
    <t>5.1.2.5</t>
  </si>
  <si>
    <t>5.1.2.6</t>
  </si>
  <si>
    <t>5.1.2.7</t>
  </si>
  <si>
    <t>5.1.2.8</t>
  </si>
  <si>
    <t>5.1.2.9</t>
  </si>
  <si>
    <t>5.1.2.10</t>
  </si>
  <si>
    <t>5.1.2.11</t>
  </si>
  <si>
    <t>5.2.4</t>
  </si>
  <si>
    <t>5.2.5</t>
  </si>
  <si>
    <t>5.2.6</t>
  </si>
  <si>
    <t>5.2.7</t>
  </si>
  <si>
    <t>6.1.2</t>
  </si>
  <si>
    <t>6.2.3</t>
  </si>
  <si>
    <t>7.1.2</t>
  </si>
  <si>
    <t>7.2.1</t>
  </si>
  <si>
    <t>7.3.1</t>
  </si>
  <si>
    <t>8.1.1.1</t>
  </si>
  <si>
    <t>8.1.1.2</t>
  </si>
  <si>
    <t>8.1.1.3</t>
  </si>
  <si>
    <t>8.1.1.4</t>
  </si>
  <si>
    <t>8.1.1.5</t>
  </si>
  <si>
    <t>8.1.1.6</t>
  </si>
  <si>
    <t>8.1.1.7</t>
  </si>
  <si>
    <t>8.1.1.8</t>
  </si>
  <si>
    <t>8.1.1.9</t>
  </si>
  <si>
    <t>8.1.1.10</t>
  </si>
  <si>
    <t>8.1.1.11</t>
  </si>
  <si>
    <t>8.1.1.12</t>
  </si>
  <si>
    <t>8.1.2.1</t>
  </si>
  <si>
    <t>8.2.20</t>
  </si>
  <si>
    <t>8.4.6</t>
  </si>
  <si>
    <t>8.4.7</t>
  </si>
  <si>
    <t>8.4.8</t>
  </si>
  <si>
    <t>8.4.9</t>
  </si>
  <si>
    <t>8.4.10</t>
  </si>
  <si>
    <t>8.4.11</t>
  </si>
  <si>
    <t>8.5.2</t>
  </si>
  <si>
    <t>8.5.3</t>
  </si>
  <si>
    <t>8.5.4</t>
  </si>
  <si>
    <t>8.5.5</t>
  </si>
  <si>
    <t>9.4.5</t>
  </si>
  <si>
    <t>9.4.6</t>
  </si>
  <si>
    <t>9.4.7</t>
  </si>
  <si>
    <t>9.4.8</t>
  </si>
  <si>
    <t>9.4.9</t>
  </si>
  <si>
    <t>9.8.25</t>
  </si>
  <si>
    <t>9.11.1</t>
  </si>
  <si>
    <t>3.2.13</t>
  </si>
  <si>
    <t>3.2.14</t>
  </si>
  <si>
    <t>3.2.15</t>
  </si>
  <si>
    <t>3.2.16</t>
  </si>
  <si>
    <t>13.3.3</t>
  </si>
  <si>
    <t>13.4.2</t>
  </si>
  <si>
    <t>15.4</t>
  </si>
  <si>
    <t>15.4.1</t>
  </si>
  <si>
    <t>15.4.2</t>
  </si>
  <si>
    <t>17.2.3</t>
  </si>
  <si>
    <t>17.2.4</t>
  </si>
  <si>
    <t>17.4.9</t>
  </si>
  <si>
    <t>17.4.10</t>
  </si>
  <si>
    <t>17.4.11</t>
  </si>
  <si>
    <t>17.4.12</t>
  </si>
  <si>
    <t>17.4.13</t>
  </si>
  <si>
    <t>17.4.14</t>
  </si>
  <si>
    <t>17.5.3</t>
  </si>
  <si>
    <t>17.7.3</t>
  </si>
  <si>
    <t>17.6.2</t>
  </si>
  <si>
    <t>18.2.1</t>
  </si>
  <si>
    <t>18.3.1</t>
  </si>
  <si>
    <t>18.2.2</t>
  </si>
  <si>
    <t>18.3.2</t>
  </si>
  <si>
    <t>18.3.3</t>
  </si>
  <si>
    <t>18.3.4</t>
  </si>
  <si>
    <t>18.3.5</t>
  </si>
  <si>
    <t>18.3.6</t>
  </si>
  <si>
    <t>18.3.7</t>
  </si>
  <si>
    <t>18.3.8</t>
  </si>
  <si>
    <t>19.1.3</t>
  </si>
  <si>
    <t>19.2.3</t>
  </si>
  <si>
    <t>21.1.3</t>
  </si>
  <si>
    <t>21.1.4</t>
  </si>
  <si>
    <t>21.1.2.1</t>
  </si>
  <si>
    <t>21.1.2.2</t>
  </si>
  <si>
    <t>21.1.2.3</t>
  </si>
  <si>
    <t>21.1.2.4</t>
  </si>
  <si>
    <t>21.1.2.5</t>
  </si>
  <si>
    <t>21.1.2.6</t>
  </si>
  <si>
    <t>21.1.2.7</t>
  </si>
  <si>
    <t>21.1.2.8</t>
  </si>
  <si>
    <t>21.1.2.9</t>
  </si>
  <si>
    <t>21.1.2.10</t>
  </si>
  <si>
    <t>21.1.2.11</t>
  </si>
  <si>
    <t>22.1</t>
  </si>
  <si>
    <t>22.2</t>
  </si>
  <si>
    <t>22.3</t>
  </si>
  <si>
    <t>22.4</t>
  </si>
  <si>
    <t>22.5</t>
  </si>
  <si>
    <t>22.6</t>
  </si>
  <si>
    <t>22.7</t>
  </si>
  <si>
    <t>22.8</t>
  </si>
  <si>
    <t>22.9</t>
  </si>
  <si>
    <t>22.10</t>
  </si>
  <si>
    <t>DETALHAMENTO DO BDI</t>
  </si>
  <si>
    <t>Item</t>
  </si>
  <si>
    <t>Descrição dos Serviços</t>
  </si>
  <si>
    <t>PV</t>
  </si>
  <si>
    <t>CD</t>
  </si>
  <si>
    <t>ADMINISTRAÇÃO CENTRAL</t>
  </si>
  <si>
    <t xml:space="preserve"> </t>
  </si>
  <si>
    <t>ESCRITÓRIO CENTRAL</t>
  </si>
  <si>
    <t>VIAGENS</t>
  </si>
  <si>
    <t>OUTROS</t>
  </si>
  <si>
    <t>IMPOSTOS E TAXAS</t>
  </si>
  <si>
    <t>ISS</t>
  </si>
  <si>
    <t>2.2</t>
  </si>
  <si>
    <t>PIS</t>
  </si>
  <si>
    <t>2.3</t>
  </si>
  <si>
    <t>Cofins</t>
  </si>
  <si>
    <t>TAXA DE RISCO</t>
  </si>
  <si>
    <t>SEGURO</t>
  </si>
  <si>
    <t>RISCO</t>
  </si>
  <si>
    <t>GARANTIA</t>
  </si>
  <si>
    <t>DESPESAS FINANCEIRAS</t>
  </si>
  <si>
    <t>LUCRO</t>
  </si>
  <si>
    <t>BDI - CALCULADO</t>
  </si>
  <si>
    <t>BDI (CALCULADO):</t>
  </si>
  <si>
    <t xml:space="preserve">BDI CALCULADO CONFORME ACÓRDÃO Nº 2369/2011 – TCU </t>
  </si>
  <si>
    <t>BDI:</t>
  </si>
  <si>
    <t>Condulete de alumínio tipo "X" 1.1/2" com tampa</t>
  </si>
  <si>
    <t>Condulete de alumínio tipo "LB" 1" com tampa</t>
  </si>
  <si>
    <t>POWER</t>
  </si>
  <si>
    <t>BRUNO</t>
  </si>
  <si>
    <t>(11) 5521-1511</t>
  </si>
  <si>
    <t>G3</t>
  </si>
  <si>
    <t>(11) 3971-7965</t>
  </si>
  <si>
    <t>Instalações elétricas, hidráulicas e sistemas</t>
  </si>
  <si>
    <t>COT 311</t>
  </si>
  <si>
    <t>COT 312</t>
  </si>
  <si>
    <t>COT 313</t>
  </si>
  <si>
    <t>COT 314</t>
  </si>
  <si>
    <t>COT 315</t>
  </si>
  <si>
    <t>COT 316</t>
  </si>
  <si>
    <t>COT 317</t>
  </si>
  <si>
    <t>COT 318</t>
  </si>
  <si>
    <t>COT 319</t>
  </si>
  <si>
    <t>COT 320</t>
  </si>
  <si>
    <t>COT 321</t>
  </si>
  <si>
    <t>COT 322</t>
  </si>
  <si>
    <t>COT 323</t>
  </si>
  <si>
    <t>COT 324</t>
  </si>
  <si>
    <t>COT 325</t>
  </si>
  <si>
    <t>COT 326</t>
  </si>
  <si>
    <t>COT 327</t>
  </si>
  <si>
    <t>COT 328</t>
  </si>
  <si>
    <t>COT 329</t>
  </si>
  <si>
    <t>COT 330</t>
  </si>
  <si>
    <t>COT 331</t>
  </si>
  <si>
    <t>COT 332</t>
  </si>
  <si>
    <t>COT 333</t>
  </si>
  <si>
    <t>COT 334</t>
  </si>
  <si>
    <t>COT 335</t>
  </si>
  <si>
    <t>COT 336</t>
  </si>
  <si>
    <t>COT 337</t>
  </si>
  <si>
    <t>COT 338</t>
  </si>
  <si>
    <t>COT 339</t>
  </si>
  <si>
    <t>COT 340</t>
  </si>
  <si>
    <t>COT 341</t>
  </si>
  <si>
    <t>COT 342</t>
  </si>
  <si>
    <t>COT 343</t>
  </si>
  <si>
    <t>COT 344</t>
  </si>
  <si>
    <t>COT 345</t>
  </si>
  <si>
    <t>COT 346</t>
  </si>
  <si>
    <t>COT 347</t>
  </si>
  <si>
    <t>COT 348</t>
  </si>
  <si>
    <t>COT 349</t>
  </si>
  <si>
    <t>COT 350</t>
  </si>
  <si>
    <t>COT 351</t>
  </si>
  <si>
    <t>COT 352</t>
  </si>
  <si>
    <t>COT 353</t>
  </si>
  <si>
    <t>COT 354</t>
  </si>
  <si>
    <t>COT 355</t>
  </si>
  <si>
    <t>COT 356</t>
  </si>
  <si>
    <t>COT 357</t>
  </si>
  <si>
    <t>COT 358</t>
  </si>
  <si>
    <t>COT 359</t>
  </si>
  <si>
    <t>COT 360</t>
  </si>
  <si>
    <t>COT 361</t>
  </si>
  <si>
    <t>COT 362</t>
  </si>
  <si>
    <t>COT 363</t>
  </si>
  <si>
    <t>COT 364</t>
  </si>
  <si>
    <t>COT 365</t>
  </si>
  <si>
    <t>COT 366</t>
  </si>
  <si>
    <t>COT 367</t>
  </si>
  <si>
    <t>COT 368</t>
  </si>
  <si>
    <t>COT 369</t>
  </si>
  <si>
    <t>COT 370</t>
  </si>
  <si>
    <t>COT 371</t>
  </si>
  <si>
    <t>COT 372</t>
  </si>
  <si>
    <t>COT 373</t>
  </si>
  <si>
    <t>COT 374</t>
  </si>
  <si>
    <t>Tubo em PVC soldável marrom Ø 25 mm, inclusive conexões - fornecimento e instalação</t>
  </si>
  <si>
    <t>Tubo em PVC soldável marrom Ø 32 mm, inclusive conexões - fornecimento e instalação</t>
  </si>
  <si>
    <t>Tubo em PVC soldável marrom Ø 40 mm, inclusive conexões - fornecimento e instalação</t>
  </si>
  <si>
    <t>Tubo em PVC soldável marrom Ø 50 mm, inclusive conexões - fornecimento e instalação</t>
  </si>
  <si>
    <t>Tubo em PVC soldável marrom Ø 60 mm, inclusive conexões - fornecimento e instalação</t>
  </si>
  <si>
    <t>Registro de gaveta com canopla acabamento cromado simples Ø 3/4" - fornecimento e instalação</t>
  </si>
  <si>
    <t>Registro de gaveta com canopla acabamento cromado simples Ø 1" - fornecimento e instalação</t>
  </si>
  <si>
    <t>Registro de gaveta em bronze Ø 2" - fornecimento e instalação</t>
  </si>
  <si>
    <t>Torneira de lavagem  Ø 3/4"</t>
  </si>
  <si>
    <t>Reservatório de água ACQUAVIDA - V= 10.000L, 3,00m / H=1,68m, referência ACQUA10000</t>
  </si>
  <si>
    <t>Hidrômetro Ø 1"</t>
  </si>
  <si>
    <t>Torneira de bóia  Ø 1"</t>
  </si>
  <si>
    <t>Tubo de PVC com ponta bolsa soldável  Ø 40 mm, inclusive conexões, série reforçada - fornecimento e instalação</t>
  </si>
  <si>
    <t>Tubo de PVC com ponto bolsa e virola Ø 50mm, inclusive conexões, série reforçada  - fornecimento e instalação</t>
  </si>
  <si>
    <t>Tubo de PVC com ponto bolsa e virola Ø 75mm, inclusive conexões, série reforçada  - fornecimento e instalação</t>
  </si>
  <si>
    <t>Tubo de PVC com ponto bolsa e virola Ø 100mm, inclusive conexões, série reforçada  - fornecimento e instalação</t>
  </si>
  <si>
    <t>Tubo de PVC com ponto bolsa e virola Ø 150mm, inclusive conexões, série reforçada  - fornecimento e instalação</t>
  </si>
  <si>
    <t>Caixa sifonada - Ø 150x150x50mm - fornecimento e instalação</t>
  </si>
  <si>
    <t>Caixa de inspeção em alvenaria moldada "in loco", dimensões 60x60cm</t>
  </si>
  <si>
    <t>Caixa de gordura em alvenaria moldada "in loco", dimensões 60x40xcm</t>
  </si>
  <si>
    <t>Tubo de PVC com ponto bolsa e virola Ø 40mm, inclusive conexões, série reforçada  - fornecimento e instalação</t>
  </si>
  <si>
    <t>Tubo em PVC com ponta, bolsa e virola, Ø 75 mm, inclusive conexões, série reforçada - fornecimento e assentamento</t>
  </si>
  <si>
    <t>Tubo em PVC com ponta, bolsa e virola, Ø 100 mm, inclusive conexões, série
reforçada - fornecimento e assentamento</t>
  </si>
  <si>
    <t>Tubo em PVC com ponta, bolsa e virola, Ø 150 mm, inclusive conexões, série
reforçada - fornecimento e assentamento</t>
  </si>
  <si>
    <t>Tubo em PVC com ponta, bolsa e virola, Ø 200 mm, inclusive conexões, série
reforçada - fornecimento e assentamento</t>
  </si>
  <si>
    <t>Tubo em PVC com ponta, bolsa e virola, Ø 300 mm, inclusive conexões, série
reforçada - fornecimento e assentamento</t>
  </si>
  <si>
    <t>Grelha hemisférica em ferro fundido, Ø 150mm - fornecimento e instalação</t>
  </si>
  <si>
    <t>Caixa de passagem / inspeção em alvenaria moldada "in loco", dimensões 60x60cm</t>
  </si>
  <si>
    <t>Caixa de passagem / inspeção em alvenaria moldada "in loco", dimensões 80x80cm</t>
  </si>
  <si>
    <t>Caixa de passagem / inspeção em alvenaria moldada "in loco", dimensões 1,00x1,00cm</t>
  </si>
  <si>
    <t>GRELHA L=0,30cm</t>
  </si>
  <si>
    <t>M</t>
  </si>
  <si>
    <t>Tubo de cobre rígido sem costura classe "A" Ø 15 mm, inclusive conexões -
fornecimento e assentamento</t>
  </si>
  <si>
    <t>Tubo de cobre rígido sem costura classe "A" Ø 22 mm, inclusive conexões -
fornecimento e assentamento</t>
  </si>
  <si>
    <t>Tubo de cobre rígido sem costura classe "A" Ø 28 mm, inclusive conexões -
fornecimento e assentamento</t>
  </si>
  <si>
    <t>Tubo de cobre rígido sem costura classe "E" Ø 65 mm, inclusive conexões - fornecimento e assentamento</t>
  </si>
  <si>
    <t>Extintor de água pressurizada 2-A - 10L - portátil</t>
  </si>
  <si>
    <t>Extintor de pó químico ABC 2-A : 20-B:C - 4Kg - portátil</t>
  </si>
  <si>
    <t>Abrigo para hidrante, dimensões 90x60x17cm, composto por caixa de incêndio em chapa SAE 1020 laminada a frio, porta com ventilação e visor suporte 1/2 lua, esguicho em latão com engate rápido, 2 mangueiras de incêndio com comprimento=15metros, redução fixa tipo storz em latão e registro de globo angular 45º  Ø  2 1/2" em latão - fornecimento e instalação</t>
  </si>
  <si>
    <t>Hidrante de recalque para canalização preventiva</t>
  </si>
  <si>
    <t>EXCLUSO</t>
  </si>
  <si>
    <t>Cabo isolado flexível de cobre com isolação em composto termoplástico com base poliolefínica não halogenada tipo LSZH (Low Smoke Zero
Halogen) - 750 V - 70° C  #  2,5 mm²</t>
  </si>
  <si>
    <t>Cabo isolado flexível de cobre com isolação em composto termoplástico com base poliolefínica não halogenada tipo LSZH (Low Smoke Zero Halogen) - 750 V - 70° C   #   4 mm²</t>
  </si>
  <si>
    <t>INTERRUPTORES E TOMADAS</t>
  </si>
  <si>
    <t>Caixa enterrada elétrica retangular, em alvenaria com tijolos cerâmicos maciços, fundo com brita, dimensões internas: 0,40 x0,40 x0,40  m</t>
  </si>
  <si>
    <t>Caixa enterrada elétrica retangular, em alvenaria com tijolos cerâmicos maciços, fundo com brita, dimensões internas: 0,80 x 0,80 x0,60 m</t>
  </si>
  <si>
    <t>Filtro fino VORTEX - WFF 300 REF: WISY - AQUASTOCK</t>
  </si>
  <si>
    <t>Estação para tratamento de água de chuva ALFAMEC - vazão: 1500 L/H, porte médio</t>
  </si>
  <si>
    <t>Composição com preços SINAPI e cotação</t>
  </si>
  <si>
    <t>Reservatório de água em polietileno capacidade 7.000 litros</t>
  </si>
  <si>
    <t>Reservatório de água em polietileno capacidade 10.000 litros</t>
  </si>
  <si>
    <t>SBC 52731</t>
  </si>
  <si>
    <t>Composição SBC com preços SINAPI e cotação</t>
  </si>
  <si>
    <t>Sistema fotovoltaico</t>
  </si>
  <si>
    <t>Fornecimento e instalação de sistema fotovoltaico 38,70 kWp composto dos equipamentos e materiais abaixo relacionados</t>
  </si>
  <si>
    <t>BLUESOL</t>
  </si>
  <si>
    <t>MARCIO</t>
  </si>
  <si>
    <t>(21) 99548-3162</t>
  </si>
  <si>
    <t>SISTEMA</t>
  </si>
  <si>
    <t>10.1.2</t>
  </si>
  <si>
    <t>10.1.3</t>
  </si>
  <si>
    <t>10.1.4</t>
  </si>
  <si>
    <t>10.1.5</t>
  </si>
  <si>
    <t>10.1.6</t>
  </si>
  <si>
    <t>10.1.7</t>
  </si>
  <si>
    <t>10.1.8</t>
  </si>
  <si>
    <t>10.1.9</t>
  </si>
  <si>
    <t>10.1.10</t>
  </si>
  <si>
    <t>10.1.11</t>
  </si>
  <si>
    <t>10.2.2</t>
  </si>
  <si>
    <t>INSUMO SBC</t>
  </si>
  <si>
    <t>CUSTO DE FABRICANTE</t>
  </si>
  <si>
    <t>CUSTO DE FABRICANTE ESPECIFICADO</t>
  </si>
  <si>
    <t>KINSOL</t>
  </si>
  <si>
    <t>SIDNEY</t>
  </si>
  <si>
    <t>(11) 9.4550-5403</t>
  </si>
  <si>
    <t>ECOMATIZE</t>
  </si>
  <si>
    <t>FABRICIO</t>
  </si>
  <si>
    <t>(21) 3576-8658</t>
  </si>
  <si>
    <t>SOLARON</t>
  </si>
  <si>
    <t>BRUNA</t>
  </si>
  <si>
    <t>(21) 3416-1075</t>
  </si>
  <si>
    <t>SOLARIS</t>
  </si>
  <si>
    <t>ALEX</t>
  </si>
  <si>
    <t>(19) 3554-5566</t>
  </si>
  <si>
    <t>Os fornecedores 2 a 4 não apresentaram orçamento até esta data</t>
  </si>
  <si>
    <t>O fornecedor 5 declinou</t>
  </si>
  <si>
    <t>RIO FLASH</t>
  </si>
  <si>
    <t>FERNANDO</t>
  </si>
  <si>
    <t>(21) 3866-0441</t>
  </si>
  <si>
    <t>CLIMATRIX</t>
  </si>
  <si>
    <t>SIMONE</t>
  </si>
  <si>
    <t>(21) 3177-0801</t>
  </si>
  <si>
    <t>Os demais fornecedores não apresentaram proposta até essa data</t>
  </si>
  <si>
    <t>TTL</t>
  </si>
  <si>
    <t>TIBÉRIO</t>
  </si>
  <si>
    <t>(11) 5078-8952</t>
  </si>
  <si>
    <t>O fornecedor 3 não apresentou orçamento até esta data</t>
  </si>
  <si>
    <t>Rack de piso 44U 1200 mm 19" preto com porta frontal de acrílico</t>
  </si>
  <si>
    <t>Botão de alarme de incêndio acionamento manual</t>
  </si>
  <si>
    <t>Eletroduto flexível, pead, dn 32 mm (1"), para circuitos terminais, fornecimento e instalação</t>
  </si>
  <si>
    <t>66.08.258</t>
  </si>
  <si>
    <t>Ponto de acesso de dados (Access Point), uso interno</t>
  </si>
  <si>
    <t>39.11.080</t>
  </si>
  <si>
    <t>Cabo telefônico CI, com 50 pares de 0,50 mm, para centrais telefônicas, equipamentos e rede interna</t>
  </si>
  <si>
    <t>Patch cord RJ45 1,50 m</t>
  </si>
  <si>
    <t>Patch cord RJ45 2,50 m</t>
  </si>
  <si>
    <t>Segurança</t>
  </si>
  <si>
    <t>INTELBRAS - CIELLUS</t>
  </si>
  <si>
    <t>MARCELO</t>
  </si>
  <si>
    <t>(11) 5565-6561</t>
  </si>
  <si>
    <t>Servidor de gravação com 32 canais de entrada, referencia NVC 7132 da Intelbrás ou equivalente</t>
  </si>
  <si>
    <t>Tomada de rede rj45 - fornecimento e instalação</t>
  </si>
  <si>
    <t>69.09.300</t>
  </si>
  <si>
    <t>Voice Panel de 50 portas categoria 6</t>
  </si>
  <si>
    <t>44.20.310</t>
  </si>
  <si>
    <t>Filtro de pressão em ABS para 360 l/h</t>
  </si>
  <si>
    <t>Conjunto motor-bomba 112m3/h, 20mca, 10cv, 3500rpm, 220/380v, trifásico</t>
  </si>
  <si>
    <t>Gases</t>
  </si>
  <si>
    <t>Gas Tecnique</t>
  </si>
  <si>
    <t>ROGÉRIO</t>
  </si>
  <si>
    <t>(19) 2513-2600</t>
  </si>
  <si>
    <t>Cilindro de gás P10</t>
  </si>
  <si>
    <t>pt</t>
  </si>
  <si>
    <t>PREÇO 
UNIT MAT</t>
  </si>
  <si>
    <t>PREÇO 
UNIT MO</t>
  </si>
  <si>
    <t>Grelha de exaustão/retorno ref.: ar-ag 625 x 425 mm pintado na cor branco neve - trox ou equivalente</t>
  </si>
  <si>
    <t>Unidade evaporadora tipo hi-wall para sistema split 12.000 btus  - tensão 220 v - gás refrigerante r-410a (ref.: asbg12jmca - fujitsu</t>
  </si>
  <si>
    <t>Unidade condensadora descarga horiz.  para sistema split 12.000 btus  - tensão 220 v - gás refrigerante r-410a (ref.:aobg12jmca - fujitsu</t>
  </si>
  <si>
    <t>Exaustor centrífugo de simples aspiração sirocco com vazão de 990 m3/h, p.e.d.= 40mmca  motor de 0,5 hp 220v/3f/60hz. sem filtro. ref.: iss-200 projelmec</t>
  </si>
  <si>
    <t>Exaustor centrífugo de simples aspiração sirocco  com vazão de 5.580 m3/h, p.e.d.= 80mmca motor de 4,0 hp 220v/3f/60hz. sem filtro. ref.: iss-400 projelmec</t>
  </si>
  <si>
    <t>Gabinete de exaustão/ventilação de dupla aspiração sirocco com vazão de 3.060 m3/h, p.e.d.= 25mmca motor de 1,0 hp 220v/3f/60hz. sem filtro. ref.: csd-250 projelmec</t>
  </si>
  <si>
    <t>Gabinete de exaustão/ventilação de dupla aspiração sirocco com vazão de 4.700 m3/h, p.e.d.= 25mmca  motor de 1,5 hp 220v/3f/60hz. sem filtro. ref.: csd-355 projelmec</t>
  </si>
  <si>
    <t>14.2.10</t>
  </si>
  <si>
    <t>14.6.22</t>
  </si>
  <si>
    <t>14.6.23</t>
  </si>
  <si>
    <t>14.6.24</t>
  </si>
  <si>
    <t>14.6.25</t>
  </si>
  <si>
    <t>14.6.26</t>
  </si>
  <si>
    <t>14.6.27</t>
  </si>
  <si>
    <t>OBSERVAÇÕES:</t>
  </si>
  <si>
    <t>Data base dessa planilha: Março/2022</t>
  </si>
  <si>
    <t>Reajuste INCC no período Março/2022 a Março/2026 = 28,21% + Atualização dos órgãos indicados</t>
  </si>
  <si>
    <t>Concreto usinado bombeável 40 Mpa</t>
  </si>
  <si>
    <t>09.090.031</t>
  </si>
  <si>
    <t>09.090.033</t>
  </si>
  <si>
    <t>10.003.011</t>
  </si>
  <si>
    <t>Vigia diurno com encargos complementares</t>
  </si>
  <si>
    <t>Reaterro mecanizado de vala com escavadeira hidráulica (capacidade da caçamba: 0,8 m³ / potência: 111 hp), largura até 1,5 m, profundidade de 4,5 a 6,0 m, com solo de 1ª categoria em locais com baixo nível de interferência. af_04/2016</t>
  </si>
  <si>
    <t>utilizado 98562</t>
  </si>
  <si>
    <t>Concreto usinado bombeavel, classe de resistencia c45, com brita 0 e 1, slump = 100 +/- 20 mm, inclui servico de bombeamento (nbr 8953)</t>
  </si>
  <si>
    <t>COTAÇÃO REAJUSTADA</t>
  </si>
  <si>
    <t>Custo Mercado Reajustado</t>
  </si>
  <si>
    <t>Chapa de laminado melamínico 1 mm texturizada</t>
  </si>
  <si>
    <t>Cola de contato</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</si>
  <si>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</si>
  <si>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</si>
  <si>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30.04.060</t>
  </si>
  <si>
    <t>Revestimento em chapa de aço inoxidável para proteção de portas, altura 40 cm</t>
  </si>
  <si>
    <t>Porta acústica dupla com pintura branca, dimensões 1,20 x 2,10 m</t>
  </si>
  <si>
    <t>46.10.010</t>
  </si>
  <si>
    <t>Tubo de cobre classe A, DN= 15 mm (1/2") inclusive conexões</t>
  </si>
  <si>
    <t>46.10.020</t>
  </si>
  <si>
    <t>Tubo de cobre classe A, DN= 22 mm (3/4") inclusive conexões</t>
  </si>
  <si>
    <t>46.10.030</t>
  </si>
  <si>
    <t>Tubo de cobre classe A, DN= 28 mm (1") inclusive conexões</t>
  </si>
  <si>
    <t>09.01.020</t>
  </si>
  <si>
    <t>Forma em madeira comum para fundação</t>
  </si>
  <si>
    <t>09.02.040</t>
  </si>
  <si>
    <t>Forma plana em compensado para estrutura aparente</t>
  </si>
  <si>
    <t>Utilizados nessa atualização: SINAPI  RJ 03/2026 - SBC RJ 03/2026 - SIURB SP 01/2026 - CDHU versão 200</t>
  </si>
  <si>
    <t>Materiais para argamassa para estaca raiz Ø 250 mm</t>
  </si>
  <si>
    <t>Materiais para argamassa para estaca raiz Ø 310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</si>
</sst>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R$&quot;\ * #,##0.00_-;\-&quot;R$&quot;\ * #,##0.00_-;_-&quot;R$&quot;\ * &quot;-&quot;??_-;_-@_-"/>
    <numFmt numFmtId="43" formatCode="_-* #,##0.00_-;\-* #,##0.00_-;_-* &quot;-&quot;??_-;_-@_-"/>
    <numFmt numFmtId="164" formatCode="_(* #,##0.00_);_(* \(#,##0.00\);_(* &quot;-&quot;??_);_(@_)"/>
    <numFmt numFmtId="165" formatCode="0.0000"/>
    <numFmt numFmtId="166" formatCode="_([$€]* #,##0.00_);_([$€]* \(#,##0.00\);_([$€]* &quot;-&quot;??_);_(@_)"/>
    <numFmt numFmtId="167" formatCode="0.000000"/>
    <numFmt numFmtId="168" formatCode="_-[$R$-416]\ * #,##0.00_-;\-[$R$-416]\ * #,##0.00_-;_-[$R$-416]\ * &quot;-&quot;??_-;_-@_-"/>
    <numFmt numFmtId="169" formatCode="[$-416]mmmm\-yy;@"/>
    <numFmt numFmtId="170" formatCode="[$-416]mmm\-yy;@"/>
  </numFmts>
  <fonts count="7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sz val="8"/>
      <name val="Arial"/>
      <family val="2"/>
    </font>
    <font>
      <sz val="12"/>
      <name val="Arial"/>
      <family val="2"/>
    </font>
    <font>
      <sz val="8"/>
      <name val="Arial"/>
      <family val="2"/>
    </font>
    <font>
      <sz val="14"/>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1"/>
      <name val="Calibri"/>
      <family val="2"/>
      <scheme val="minor"/>
    </font>
    <font>
      <sz val="10"/>
      <name val="Tahoma"/>
      <family val="2"/>
    </font>
    <font>
      <b/>
      <sz val="18"/>
      <name val="Arial"/>
      <family val="2"/>
    </font>
    <font>
      <sz val="10"/>
      <color rgb="FFFF0000"/>
      <name val="Arial"/>
      <family val="2"/>
    </font>
    <font>
      <sz val="7"/>
      <name val="Verdana"/>
      <family val="2"/>
    </font>
    <font>
      <sz val="8"/>
      <name val="Verdana"/>
      <family val="2"/>
    </font>
    <font>
      <b/>
      <sz val="10"/>
      <name val="Calibri"/>
      <family val="2"/>
    </font>
    <font>
      <b/>
      <sz val="6"/>
      <name val="Calibri"/>
      <family val="2"/>
    </font>
    <font>
      <sz val="10"/>
      <name val="Calibri"/>
      <family val="2"/>
      <scheme val="minor"/>
    </font>
    <font>
      <sz val="11"/>
      <name val="Arial"/>
      <family val="2"/>
    </font>
    <font>
      <sz val="10"/>
      <name val="Comic Sans MS"/>
      <family val="4"/>
    </font>
    <font>
      <sz val="10"/>
      <name val="Calibri"/>
      <family val="2"/>
    </font>
    <font>
      <i/>
      <sz val="11"/>
      <name val="Arial"/>
      <family val="2"/>
    </font>
    <font>
      <sz val="11"/>
      <name val="Calibri"/>
      <family val="2"/>
      <scheme val="minor"/>
    </font>
    <font>
      <b/>
      <sz val="18"/>
      <name val="Verdana"/>
      <family val="2"/>
    </font>
    <font>
      <b/>
      <sz val="12"/>
      <name val="Verdana"/>
      <family val="2"/>
    </font>
    <font>
      <b/>
      <sz val="14"/>
      <name val="Verdana"/>
      <family val="2"/>
    </font>
    <font>
      <b/>
      <sz val="10"/>
      <name val="Verdana"/>
      <family val="2"/>
    </font>
    <font>
      <b/>
      <sz val="16"/>
      <name val="Verdana"/>
      <family val="2"/>
    </font>
    <font>
      <b/>
      <sz val="12"/>
      <name val="Calibri"/>
      <family val="2"/>
    </font>
    <font>
      <sz val="12"/>
      <name val="Calibri"/>
      <family val="2"/>
      <scheme val="minor"/>
    </font>
    <font>
      <sz val="12"/>
      <name val="Calibri"/>
      <family val="2"/>
    </font>
    <font>
      <vertAlign val="superscript"/>
      <sz val="11"/>
      <name val="Calibri"/>
      <family val="2"/>
    </font>
    <font>
      <b/>
      <sz val="11"/>
      <name val="Calibri"/>
      <family val="2"/>
      <scheme val="minor"/>
    </font>
    <font>
      <b/>
      <sz val="10"/>
      <name val="Calibri"/>
      <family val="2"/>
      <scheme val="minor"/>
    </font>
    <font>
      <sz val="10"/>
      <name val="Courier New"/>
      <family val="3"/>
    </font>
    <font>
      <b/>
      <sz val="10"/>
      <name val="Courier New"/>
      <family val="3"/>
    </font>
    <font>
      <sz val="10"/>
      <name val="Arial Narrow"/>
      <family val="2"/>
    </font>
    <font>
      <sz val="8"/>
      <name val="Arial"/>
      <family val="2"/>
    </font>
    <font>
      <b/>
      <sz val="16"/>
      <name val="Arial"/>
      <family val="2"/>
    </font>
    <font>
      <sz val="16"/>
      <name val="Arial"/>
      <family val="2"/>
    </font>
    <font>
      <b/>
      <sz val="10"/>
      <color rgb="FFFF0000"/>
      <name val="Calibri"/>
      <family val="2"/>
      <scheme val="minor"/>
    </font>
    <font>
      <b/>
      <sz val="12"/>
      <name val="Times New Roman"/>
      <family val="1"/>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0" tint="-0.14999847407452621"/>
        <bgColor indexed="64"/>
      </patternFill>
    </fill>
    <fill>
      <patternFill patternType="solid">
        <fgColor indexed="55"/>
        <bgColor indexed="64"/>
      </patternFill>
    </fill>
    <fill>
      <patternFill patternType="solid">
        <fgColor rgb="FFFFFFCC"/>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FF66"/>
        <bgColor indexed="64"/>
      </patternFill>
    </fill>
    <fill>
      <patternFill patternType="solid">
        <fgColor rgb="FF00B0F0"/>
        <bgColor indexed="64"/>
      </patternFill>
    </fill>
    <fill>
      <patternFill patternType="solid">
        <fgColor indexed="65"/>
        <bgColor auto="1"/>
      </patternFill>
    </fill>
    <fill>
      <patternFill patternType="solid">
        <fgColor theme="0" tint="-0.14999847407452621"/>
        <bgColor auto="1"/>
      </patternFill>
    </fill>
    <fill>
      <patternFill patternType="solid">
        <fgColor rgb="FFDDDDDD"/>
        <bgColor auto="1"/>
      </patternFill>
    </fill>
    <fill>
      <patternFill patternType="solid">
        <fgColor theme="1"/>
        <bgColor indexed="64"/>
      </patternFill>
    </fill>
    <fill>
      <patternFill patternType="solid">
        <fgColor indexed="22"/>
        <bgColor indexed="31"/>
      </patternFill>
    </fill>
    <fill>
      <patternFill patternType="solid">
        <fgColor rgb="FF66CCFF"/>
        <bgColor indexed="64"/>
      </patternFill>
    </fill>
  </fills>
  <borders count="1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55"/>
      </top>
      <bottom/>
      <diagonal/>
    </border>
    <border>
      <left/>
      <right style="medium">
        <color theme="1" tint="0.499984740745262"/>
      </right>
      <top/>
      <bottom/>
      <diagonal/>
    </border>
    <border>
      <left style="medium">
        <color theme="1" tint="0.499984740745262"/>
      </left>
      <right/>
      <top/>
      <bottom/>
      <diagonal/>
    </border>
    <border>
      <left/>
      <right/>
      <top/>
      <bottom style="medium">
        <color indexed="55"/>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style="thick">
        <color indexed="9"/>
      </right>
      <top/>
      <bottom style="thick">
        <color indexed="9"/>
      </bottom>
      <diagonal/>
    </border>
    <border>
      <left style="thick">
        <color indexed="9"/>
      </left>
      <right/>
      <top/>
      <bottom style="thick">
        <color indexed="9"/>
      </bottom>
      <diagonal/>
    </border>
    <border>
      <left/>
      <right/>
      <top/>
      <bottom style="thick">
        <color indexed="9"/>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medium">
        <color indexed="23"/>
      </left>
      <right style="thin">
        <color indexed="23"/>
      </right>
      <top style="medium">
        <color indexed="23"/>
      </top>
      <bottom/>
      <diagonal/>
    </border>
    <border>
      <left style="thin">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style="thin">
        <color indexed="23"/>
      </right>
      <top style="medium">
        <color indexed="23"/>
      </top>
      <bottom/>
      <diagonal/>
    </border>
    <border>
      <left style="thin">
        <color indexed="23"/>
      </left>
      <right style="medium">
        <color indexed="23"/>
      </right>
      <top style="medium">
        <color indexed="23"/>
      </top>
      <bottom/>
      <diagonal/>
    </border>
    <border>
      <left style="medium">
        <color indexed="23"/>
      </left>
      <right style="thin">
        <color indexed="23"/>
      </right>
      <top/>
      <bottom/>
      <diagonal/>
    </border>
    <border>
      <left style="thin">
        <color indexed="23"/>
      </left>
      <right/>
      <top/>
      <bottom/>
      <diagonal/>
    </border>
    <border>
      <left/>
      <right style="thin">
        <color indexed="23"/>
      </right>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23"/>
      </left>
      <right style="medium">
        <color indexed="23"/>
      </right>
      <top/>
      <bottom/>
      <diagonal/>
    </border>
    <border>
      <left style="thin">
        <color indexed="23"/>
      </left>
      <right style="thin">
        <color indexed="23"/>
      </right>
      <top style="thin">
        <color indexed="23"/>
      </top>
      <bottom/>
      <diagonal/>
    </border>
    <border>
      <left style="medium">
        <color indexed="23"/>
      </left>
      <right style="thin">
        <color indexed="23"/>
      </right>
      <top/>
      <bottom style="medium">
        <color indexed="23"/>
      </bottom>
      <diagonal/>
    </border>
    <border>
      <left style="thin">
        <color indexed="23"/>
      </left>
      <right/>
      <top/>
      <bottom style="medium">
        <color indexed="23"/>
      </bottom>
      <diagonal/>
    </border>
    <border>
      <left/>
      <right/>
      <top/>
      <bottom style="medium">
        <color indexed="23"/>
      </bottom>
      <diagonal/>
    </border>
    <border>
      <left/>
      <right style="thin">
        <color indexed="23"/>
      </right>
      <top/>
      <bottom style="medium">
        <color indexed="23"/>
      </bottom>
      <diagonal/>
    </border>
    <border>
      <left style="thin">
        <color indexed="23"/>
      </left>
      <right style="thin">
        <color indexed="23"/>
      </right>
      <top/>
      <bottom style="medium">
        <color indexed="23"/>
      </bottom>
      <diagonal/>
    </border>
    <border>
      <left style="thin">
        <color indexed="23"/>
      </left>
      <right style="medium">
        <color indexed="23"/>
      </right>
      <top/>
      <bottom style="medium">
        <color indexed="23"/>
      </bottom>
      <diagonal/>
    </border>
    <border>
      <left style="medium">
        <color indexed="23"/>
      </left>
      <right style="thin">
        <color indexed="23"/>
      </right>
      <top style="medium">
        <color indexed="23"/>
      </top>
      <bottom style="thin">
        <color indexed="23"/>
      </bottom>
      <diagonal/>
    </border>
    <border>
      <left style="thin">
        <color indexed="23"/>
      </left>
      <right/>
      <top style="medium">
        <color indexed="23"/>
      </top>
      <bottom style="thin">
        <color indexed="23"/>
      </bottom>
      <diagonal/>
    </border>
    <border>
      <left/>
      <right/>
      <top style="medium">
        <color indexed="23"/>
      </top>
      <bottom style="thin">
        <color indexed="23"/>
      </bottom>
      <diagonal/>
    </border>
    <border>
      <left/>
      <right style="thin">
        <color indexed="23"/>
      </right>
      <top style="medium">
        <color indexed="23"/>
      </top>
      <bottom style="thin">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thin">
        <color indexed="23"/>
      </left>
      <right/>
      <top style="thin">
        <color indexed="23"/>
      </top>
      <bottom style="medium">
        <color indexed="23"/>
      </bottom>
      <diagonal/>
    </border>
    <border>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right/>
      <top style="medium">
        <color indexed="23"/>
      </top>
      <bottom style="hair">
        <color indexed="23"/>
      </bottom>
      <diagonal/>
    </border>
    <border>
      <left/>
      <right/>
      <top style="hair">
        <color indexed="23"/>
      </top>
      <bottom style="hair">
        <color indexed="23"/>
      </bottom>
      <diagonal/>
    </border>
    <border>
      <left/>
      <right/>
      <top style="hair">
        <color indexed="23"/>
      </top>
      <bottom style="medium">
        <color indexed="23"/>
      </bottom>
      <diagonal/>
    </border>
    <border>
      <left style="medium">
        <color auto="1"/>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auto="1"/>
      </left>
      <right style="thin">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bottom/>
      <diagonal/>
    </border>
    <border>
      <left style="thin">
        <color auto="1"/>
      </left>
      <right/>
      <top/>
      <bottom/>
      <diagonal/>
    </border>
    <border>
      <left/>
      <right/>
      <top style="hair">
        <color auto="1"/>
      </top>
      <bottom style="hair">
        <color indexed="64"/>
      </bottom>
      <diagonal/>
    </border>
    <border>
      <left/>
      <right style="thin">
        <color auto="1"/>
      </right>
      <top style="hair">
        <color indexed="64"/>
      </top>
      <bottom style="hair">
        <color auto="1"/>
      </bottom>
      <diagonal/>
    </border>
    <border>
      <left style="thin">
        <color indexed="64"/>
      </left>
      <right style="thin">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diagonal/>
    </border>
    <border>
      <left/>
      <right style="medium">
        <color indexed="64"/>
      </right>
      <top style="thin">
        <color auto="1"/>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hair">
        <color indexed="64"/>
      </bottom>
      <diagonal/>
    </border>
    <border>
      <left style="thin">
        <color auto="1"/>
      </left>
      <right style="thin">
        <color indexed="64"/>
      </right>
      <top/>
      <bottom style="thin">
        <color auto="1"/>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medium">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medium">
        <color indexed="23"/>
      </right>
      <top style="thin">
        <color indexed="23"/>
      </top>
      <bottom/>
      <diagonal/>
    </border>
    <border>
      <left style="thin">
        <color indexed="23"/>
      </left>
      <right style="thin">
        <color indexed="23"/>
      </right>
      <top style="thin">
        <color indexed="23"/>
      </top>
      <bottom style="medium">
        <color indexed="23"/>
      </bottom>
      <diagonal/>
    </border>
    <border>
      <left style="thin">
        <color indexed="23"/>
      </left>
      <right/>
      <top/>
      <bottom style="thin">
        <color indexed="23"/>
      </bottom>
      <diagonal/>
    </border>
    <border>
      <left/>
      <right style="thin">
        <color indexed="23"/>
      </right>
      <top/>
      <bottom style="thin">
        <color indexed="23"/>
      </bottom>
      <diagonal/>
    </border>
    <border>
      <left/>
      <right style="medium">
        <color indexed="23"/>
      </right>
      <top style="medium">
        <color indexed="23"/>
      </top>
      <bottom/>
      <diagonal/>
    </border>
    <border>
      <left style="thin">
        <color indexed="23"/>
      </left>
      <right/>
      <top/>
      <bottom/>
      <diagonal/>
    </border>
    <border>
      <left/>
      <right style="medium">
        <color indexed="23"/>
      </right>
      <top/>
      <bottom/>
      <diagonal/>
    </border>
    <border>
      <left style="thin">
        <color indexed="23"/>
      </left>
      <right style="medium">
        <color indexed="23"/>
      </right>
      <top/>
      <bottom/>
      <diagonal/>
    </border>
    <border>
      <left style="medium">
        <color indexed="64"/>
      </left>
      <right style="thin">
        <color indexed="64"/>
      </right>
      <top style="thin">
        <color indexed="64"/>
      </top>
      <bottom/>
      <diagonal/>
    </border>
    <border>
      <left style="thin">
        <color auto="1"/>
      </left>
      <right style="thin">
        <color auto="1"/>
      </right>
      <top/>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medium">
        <color indexed="8"/>
      </left>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64"/>
      </left>
      <right/>
      <top style="hair">
        <color indexed="64"/>
      </top>
      <bottom/>
      <diagonal/>
    </border>
    <border>
      <left/>
      <right/>
      <top style="hair">
        <color auto="1"/>
      </top>
      <bottom/>
      <diagonal/>
    </border>
    <border>
      <left/>
      <right style="thin">
        <color auto="1"/>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bottom/>
      <diagonal/>
    </border>
    <border>
      <left style="medium">
        <color indexed="64"/>
      </left>
      <right/>
      <top/>
      <bottom style="medium">
        <color indexed="64"/>
      </bottom>
      <diagonal/>
    </border>
  </borders>
  <cellStyleXfs count="177">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26" fillId="24" borderId="0" applyNumberFormat="0" applyBorder="0" applyAlignment="0" applyProtection="0"/>
    <xf numFmtId="0" fontId="13" fillId="17"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4" fillId="3" borderId="0" applyNumberFormat="0" applyBorder="0" applyAlignment="0" applyProtection="0"/>
    <xf numFmtId="0" fontId="15" fillId="19" borderId="1" applyNumberFormat="0" applyAlignment="0" applyProtection="0"/>
    <xf numFmtId="0" fontId="16" fillId="20" borderId="2" applyNumberFormat="0" applyAlignment="0" applyProtection="0"/>
    <xf numFmtId="0" fontId="3" fillId="0" borderId="0" applyFont="0" applyFill="0" applyProtection="0">
      <alignment vertical="top"/>
    </xf>
    <xf numFmtId="0" fontId="5" fillId="0" borderId="0" applyFont="0" applyFill="0" applyProtection="0">
      <alignment vertical="top"/>
    </xf>
    <xf numFmtId="166" fontId="3" fillId="0" borderId="0" applyFont="0" applyFill="0" applyBorder="0" applyAlignment="0" applyProtection="0"/>
    <xf numFmtId="166" fontId="5" fillId="0" borderId="0" applyFont="0" applyFill="0" applyBorder="0" applyAlignment="0" applyProtection="0"/>
    <xf numFmtId="0" fontId="17" fillId="0" borderId="0" applyNumberFormat="0" applyFill="0" applyBorder="0" applyAlignment="0" applyProtection="0"/>
    <xf numFmtId="2" fontId="3" fillId="0" borderId="0" applyFont="0" applyFill="0" applyProtection="0">
      <alignment vertical="top"/>
    </xf>
    <xf numFmtId="2" fontId="5" fillId="0" borderId="0" applyFont="0" applyFill="0" applyProtection="0">
      <alignment vertical="top"/>
    </xf>
    <xf numFmtId="0" fontId="18" fillId="4" borderId="0" applyNumberFormat="0" applyBorder="0" applyAlignment="0" applyProtection="0"/>
    <xf numFmtId="0" fontId="3" fillId="0" borderId="0" applyNumberFormat="0" applyFont="0" applyFill="0" applyProtection="0">
      <alignment vertical="top"/>
    </xf>
    <xf numFmtId="0" fontId="3" fillId="0" borderId="0" applyNumberFormat="0" applyFont="0" applyFill="0" applyProtection="0">
      <alignment vertical="top"/>
    </xf>
    <xf numFmtId="0" fontId="19" fillId="0" borderId="3"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4" applyNumberFormat="0" applyFill="0" applyAlignment="0" applyProtection="0"/>
    <xf numFmtId="3" fontId="3" fillId="0" borderId="0" applyFont="0" applyFill="0" applyBorder="0" applyAlignment="0" applyProtection="0"/>
    <xf numFmtId="3" fontId="5" fillId="0" borderId="0" applyFont="0" applyFill="0" applyBorder="0" applyAlignment="0" applyProtection="0"/>
    <xf numFmtId="0" fontId="22" fillId="21" borderId="0" applyNumberFormat="0" applyBorder="0" applyAlignment="0" applyProtection="0"/>
    <xf numFmtId="0" fontId="5" fillId="0" borderId="0"/>
    <xf numFmtId="0" fontId="5" fillId="0" borderId="0"/>
    <xf numFmtId="0" fontId="5" fillId="0" borderId="0"/>
    <xf numFmtId="0" fontId="5" fillId="22" borderId="5" applyNumberFormat="0" applyFont="0" applyAlignment="0" applyProtection="0"/>
    <xf numFmtId="0" fontId="23" fillId="19" borderId="6" applyNumberFormat="0" applyAlignment="0" applyProtection="0"/>
    <xf numFmtId="9" fontId="3" fillId="0" borderId="0" applyFont="0" applyFill="0" applyBorder="0" applyAlignment="0" applyProtection="0"/>
    <xf numFmtId="9" fontId="5"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0" fontId="24" fillId="0" borderId="0" applyNumberFormat="0" applyFill="0" applyBorder="0" applyAlignment="0" applyProtection="0"/>
    <xf numFmtId="0" fontId="3" fillId="0" borderId="0" applyNumberFormat="0" applyFill="0" applyProtection="0">
      <alignment vertical="top"/>
    </xf>
    <xf numFmtId="164" fontId="5" fillId="0" borderId="0" applyFont="0" applyFill="0" applyBorder="0" applyAlignment="0" applyProtection="0"/>
    <xf numFmtId="3" fontId="3" fillId="0" borderId="0" applyFont="0" applyFill="0" applyBorder="0" applyAlignment="0" applyProtection="0"/>
    <xf numFmtId="3" fontId="5" fillId="0" borderId="0" applyFon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3" fillId="27" borderId="0" applyNumberFormat="0" applyBorder="0" applyAlignment="0" applyProtection="0"/>
    <xf numFmtId="0" fontId="34" fillId="28" borderId="19" applyNumberFormat="0" applyAlignment="0" applyProtection="0"/>
    <xf numFmtId="0" fontId="35" fillId="29" borderId="20" applyNumberFormat="0" applyAlignment="0" applyProtection="0"/>
    <xf numFmtId="0" fontId="36" fillId="29" borderId="19" applyNumberFormat="0" applyAlignment="0" applyProtection="0"/>
    <xf numFmtId="0" fontId="37" fillId="0" borderId="21" applyNumberFormat="0" applyFill="0" applyAlignment="0" applyProtection="0"/>
    <xf numFmtId="0" fontId="38" fillId="30" borderId="22" applyNumberFormat="0" applyAlignment="0" applyProtection="0"/>
    <xf numFmtId="0" fontId="39" fillId="0" borderId="0" applyNumberFormat="0" applyFill="0" applyBorder="0" applyAlignment="0" applyProtection="0"/>
    <xf numFmtId="0" fontId="3" fillId="31" borderId="23" applyNumberFormat="0" applyFont="0" applyAlignment="0" applyProtection="0"/>
    <xf numFmtId="0" fontId="40" fillId="0" borderId="0" applyNumberFormat="0" applyFill="0" applyBorder="0" applyAlignment="0" applyProtection="0"/>
    <xf numFmtId="0" fontId="26" fillId="32"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26" fillId="35" borderId="0" applyNumberFormat="0" applyBorder="0" applyAlignment="0" applyProtection="0"/>
    <xf numFmtId="0" fontId="26" fillId="24"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26" fillId="50" borderId="0" applyNumberFormat="0" applyBorder="0" applyAlignment="0" applyProtection="0"/>
    <xf numFmtId="0" fontId="26"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26" fillId="54"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applyFont="0" applyFill="0" applyProtection="0">
      <alignment vertical="top"/>
    </xf>
    <xf numFmtId="166" fontId="3" fillId="0" borderId="0" applyFont="0" applyFill="0" applyBorder="0" applyAlignment="0" applyProtection="0"/>
    <xf numFmtId="2" fontId="3" fillId="0" borderId="0" applyFont="0" applyFill="0" applyProtection="0">
      <alignment vertical="top"/>
    </xf>
    <xf numFmtId="3" fontId="3" fillId="0" borderId="0" applyFont="0" applyFill="0" applyBorder="0" applyAlignment="0" applyProtection="0"/>
    <xf numFmtId="0" fontId="3" fillId="0" borderId="0"/>
    <xf numFmtId="0" fontId="3" fillId="0" borderId="0"/>
    <xf numFmtId="0" fontId="3" fillId="0" borderId="0"/>
    <xf numFmtId="0" fontId="3" fillId="22" borderId="5" applyNumberFormat="0" applyFont="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 fontId="3" fillId="0" borderId="0" applyFont="0" applyFill="0" applyBorder="0" applyAlignment="0" applyProtection="0"/>
    <xf numFmtId="0" fontId="27" fillId="0" borderId="0" applyNumberFormat="0" applyFill="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3" fillId="27" borderId="0" applyNumberFormat="0" applyBorder="0" applyAlignment="0" applyProtection="0"/>
    <xf numFmtId="0" fontId="34" fillId="28" borderId="19" applyNumberFormat="0" applyAlignment="0" applyProtection="0"/>
    <xf numFmtId="0" fontId="35" fillId="29" borderId="20" applyNumberFormat="0" applyAlignment="0" applyProtection="0"/>
    <xf numFmtId="0" fontId="36" fillId="29" borderId="19" applyNumberFormat="0" applyAlignment="0" applyProtection="0"/>
    <xf numFmtId="0" fontId="37" fillId="0" borderId="21" applyNumberFormat="0" applyFill="0" applyAlignment="0" applyProtection="0"/>
    <xf numFmtId="0" fontId="38" fillId="30" borderId="22" applyNumberFormat="0" applyAlignment="0" applyProtection="0"/>
    <xf numFmtId="0" fontId="39" fillId="0" borderId="0" applyNumberFormat="0" applyFill="0" applyBorder="0" applyAlignment="0" applyProtection="0"/>
    <xf numFmtId="0" fontId="3" fillId="31" borderId="23" applyNumberFormat="0" applyFont="0" applyAlignment="0" applyProtection="0"/>
    <xf numFmtId="0" fontId="40" fillId="0" borderId="0" applyNumberFormat="0" applyFill="0" applyBorder="0" applyAlignment="0" applyProtection="0"/>
    <xf numFmtId="0" fontId="2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6" fillId="35" borderId="0" applyNumberFormat="0" applyBorder="0" applyAlignment="0" applyProtection="0"/>
    <xf numFmtId="0" fontId="26" fillId="24"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6" fillId="50" borderId="0" applyNumberFormat="0" applyBorder="0" applyAlignment="0" applyProtection="0"/>
    <xf numFmtId="0" fontId="26"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6" fillId="5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3" fillId="0" borderId="0"/>
    <xf numFmtId="164" fontId="12" fillId="0" borderId="0" applyFont="0" applyFill="0" applyBorder="0" applyAlignment="0" applyProtection="0"/>
    <xf numFmtId="43" fontId="12" fillId="0" borderId="0" applyFont="0" applyFill="0" applyBorder="0" applyAlignment="0" applyProtection="0"/>
    <xf numFmtId="0" fontId="3" fillId="0" borderId="0"/>
    <xf numFmtId="43" fontId="5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51" fillId="0" borderId="0"/>
  </cellStyleXfs>
  <cellXfs count="573">
    <xf numFmtId="0" fontId="0" fillId="0" borderId="0" xfId="0"/>
    <xf numFmtId="0" fontId="8" fillId="0" borderId="0" xfId="167" applyFont="1" applyFill="1" applyAlignment="1" applyProtection="1">
      <alignment vertical="center"/>
    </xf>
    <xf numFmtId="4" fontId="8" fillId="0" borderId="0" xfId="167" applyNumberFormat="1" applyFont="1" applyFill="1" applyAlignment="1" applyProtection="1">
      <alignment vertical="center"/>
    </xf>
    <xf numFmtId="0" fontId="45" fillId="0" borderId="0" xfId="167" applyFont="1" applyFill="1" applyBorder="1" applyAlignment="1" applyProtection="1">
      <alignment horizontal="right" vertical="center"/>
    </xf>
    <xf numFmtId="0" fontId="45" fillId="0" borderId="0" xfId="167" applyFont="1" applyFill="1" applyAlignment="1" applyProtection="1">
      <alignment horizontal="right" vertical="center"/>
    </xf>
    <xf numFmtId="14" fontId="45" fillId="0" borderId="0" xfId="167" applyNumberFormat="1" applyFont="1" applyFill="1" applyAlignment="1" applyProtection="1">
      <alignment horizontal="center" vertical="center"/>
    </xf>
    <xf numFmtId="0" fontId="7" fillId="0" borderId="0" xfId="167" applyFont="1" applyFill="1" applyAlignment="1" applyProtection="1">
      <alignment horizontal="center" vertical="center"/>
    </xf>
    <xf numFmtId="0" fontId="7" fillId="0" borderId="0" xfId="167" applyFont="1" applyFill="1" applyAlignment="1" applyProtection="1">
      <alignment vertical="center" wrapText="1"/>
    </xf>
    <xf numFmtId="0" fontId="7" fillId="0" borderId="0" xfId="167" applyFont="1" applyFill="1" applyBorder="1" applyAlignment="1" applyProtection="1">
      <alignment vertical="center" wrapText="1"/>
    </xf>
    <xf numFmtId="0" fontId="46" fillId="0" borderId="0" xfId="167" applyFont="1" applyFill="1" applyAlignment="1" applyProtection="1">
      <alignment horizontal="center" vertical="center"/>
    </xf>
    <xf numFmtId="0" fontId="7" fillId="0" borderId="0" xfId="167" applyFont="1" applyFill="1" applyAlignment="1" applyProtection="1">
      <alignment vertical="center"/>
    </xf>
    <xf numFmtId="4" fontId="7" fillId="0" borderId="0" xfId="167" applyNumberFormat="1" applyFont="1" applyFill="1" applyAlignment="1" applyProtection="1">
      <alignment vertical="center"/>
    </xf>
    <xf numFmtId="164" fontId="48" fillId="0" borderId="54" xfId="168" applyFont="1" applyFill="1" applyBorder="1" applyAlignment="1" applyProtection="1">
      <alignment horizontal="center" vertical="center"/>
    </xf>
    <xf numFmtId="169" fontId="46" fillId="0" borderId="0" xfId="167" applyNumberFormat="1" applyFont="1" applyFill="1" applyBorder="1" applyAlignment="1" applyProtection="1">
      <alignment horizontal="center" vertical="center"/>
    </xf>
    <xf numFmtId="0" fontId="3" fillId="0" borderId="0" xfId="0" applyFont="1" applyFill="1" applyAlignment="1" applyProtection="1">
      <alignment vertical="center"/>
    </xf>
    <xf numFmtId="0" fontId="8" fillId="0" borderId="0" xfId="167" applyFont="1" applyFill="1" applyAlignment="1" applyProtection="1">
      <alignment horizontal="right" vertical="center"/>
    </xf>
    <xf numFmtId="0" fontId="8" fillId="0" borderId="0" xfId="167" applyFont="1" applyFill="1" applyAlignment="1" applyProtection="1">
      <alignment horizontal="left" vertical="center"/>
    </xf>
    <xf numFmtId="0" fontId="54" fillId="0" borderId="0" xfId="166" applyFont="1" applyAlignment="1" applyProtection="1">
      <alignment vertical="center"/>
    </xf>
    <xf numFmtId="4" fontId="54" fillId="0" borderId="0" xfId="166" applyNumberFormat="1" applyFont="1" applyAlignment="1" applyProtection="1">
      <alignment vertical="center"/>
    </xf>
    <xf numFmtId="0" fontId="52" fillId="0" borderId="0" xfId="166" applyFont="1" applyAlignment="1" applyProtection="1">
      <alignment vertical="center"/>
    </xf>
    <xf numFmtId="0" fontId="54" fillId="0" borderId="0" xfId="166" applyFont="1" applyAlignment="1" applyProtection="1">
      <alignment horizontal="right" vertical="center"/>
    </xf>
    <xf numFmtId="17" fontId="54" fillId="0" borderId="0" xfId="166" applyNumberFormat="1" applyFont="1" applyAlignment="1" applyProtection="1">
      <alignment horizontal="left" vertical="center"/>
    </xf>
    <xf numFmtId="0" fontId="55" fillId="0" borderId="31" xfId="166" applyFont="1" applyBorder="1" applyAlignment="1" applyProtection="1">
      <alignment vertical="center"/>
    </xf>
    <xf numFmtId="0" fontId="56" fillId="0" borderId="31" xfId="166" applyFont="1" applyBorder="1" applyAlignment="1" applyProtection="1">
      <alignment vertical="center"/>
    </xf>
    <xf numFmtId="0" fontId="57" fillId="0" borderId="31" xfId="166" applyFont="1" applyBorder="1" applyAlignment="1" applyProtection="1">
      <alignment vertical="center"/>
    </xf>
    <xf numFmtId="0" fontId="55" fillId="0" borderId="0" xfId="166" applyFont="1" applyBorder="1" applyAlignment="1" applyProtection="1">
      <alignment vertical="center"/>
    </xf>
    <xf numFmtId="0" fontId="55" fillId="0" borderId="34" xfId="166" applyFont="1" applyBorder="1" applyAlignment="1" applyProtection="1">
      <alignment vertical="center"/>
    </xf>
    <xf numFmtId="0" fontId="56" fillId="0" borderId="34" xfId="166" applyFont="1" applyBorder="1" applyAlignment="1" applyProtection="1">
      <alignment vertical="center"/>
    </xf>
    <xf numFmtId="0" fontId="58" fillId="0" borderId="34" xfId="166" applyFont="1" applyBorder="1" applyAlignment="1" applyProtection="1">
      <alignment vertical="center"/>
    </xf>
    <xf numFmtId="0" fontId="59" fillId="0" borderId="34" xfId="166" applyFont="1" applyBorder="1" applyAlignment="1" applyProtection="1">
      <alignment vertical="center"/>
    </xf>
    <xf numFmtId="0" fontId="60" fillId="61" borderId="35" xfId="168" applyNumberFormat="1" applyFont="1" applyFill="1" applyBorder="1" applyAlignment="1" applyProtection="1">
      <alignment horizontal="center" vertical="center" wrapText="1"/>
    </xf>
    <xf numFmtId="164" fontId="60" fillId="61" borderId="35" xfId="168" applyFont="1" applyFill="1" applyBorder="1" applyAlignment="1" applyProtection="1">
      <alignment vertical="center"/>
    </xf>
    <xf numFmtId="164" fontId="60" fillId="61" borderId="36" xfId="168" applyFont="1" applyFill="1" applyBorder="1" applyAlignment="1" applyProtection="1">
      <alignment vertical="center"/>
    </xf>
    <xf numFmtId="164" fontId="60" fillId="61" borderId="37" xfId="168" applyFont="1" applyFill="1" applyBorder="1" applyAlignment="1" applyProtection="1">
      <alignment vertical="center"/>
    </xf>
    <xf numFmtId="0" fontId="61" fillId="0" borderId="0" xfId="166" applyFont="1" applyAlignment="1" applyProtection="1">
      <alignment vertical="center"/>
    </xf>
    <xf numFmtId="4" fontId="61" fillId="0" borderId="0" xfId="166" applyNumberFormat="1" applyFont="1" applyAlignment="1" applyProtection="1">
      <alignment vertical="center"/>
    </xf>
    <xf numFmtId="0" fontId="60" fillId="56" borderId="35" xfId="166" applyFont="1" applyFill="1" applyBorder="1" applyAlignment="1" applyProtection="1">
      <alignment horizontal="center" vertical="center"/>
    </xf>
    <xf numFmtId="43" fontId="60" fillId="56" borderId="35" xfId="169" applyFont="1" applyFill="1" applyBorder="1" applyAlignment="1" applyProtection="1">
      <alignment vertical="center"/>
    </xf>
    <xf numFmtId="0" fontId="60" fillId="56" borderId="36" xfId="166" applyFont="1" applyFill="1" applyBorder="1" applyAlignment="1" applyProtection="1">
      <alignment vertical="center"/>
    </xf>
    <xf numFmtId="0" fontId="60" fillId="56" borderId="37" xfId="166" applyFont="1" applyFill="1" applyBorder="1" applyAlignment="1" applyProtection="1">
      <alignment vertical="center"/>
    </xf>
    <xf numFmtId="0" fontId="62" fillId="0" borderId="0" xfId="166" applyFont="1" applyAlignment="1" applyProtection="1">
      <alignment vertical="center"/>
    </xf>
    <xf numFmtId="4" fontId="62" fillId="0" borderId="0" xfId="166" applyNumberFormat="1" applyFont="1" applyAlignment="1" applyProtection="1">
      <alignment vertical="center"/>
    </xf>
    <xf numFmtId="0" fontId="54" fillId="23" borderId="39" xfId="166" applyFont="1" applyFill="1" applyBorder="1" applyAlignment="1" applyProtection="1">
      <alignment vertical="center"/>
    </xf>
    <xf numFmtId="14" fontId="54" fillId="23" borderId="39" xfId="166" applyNumberFormat="1" applyFont="1" applyFill="1" applyBorder="1" applyAlignment="1" applyProtection="1">
      <alignment horizontal="center" vertical="center"/>
    </xf>
    <xf numFmtId="0" fontId="54" fillId="23" borderId="41" xfId="166" applyFont="1" applyFill="1" applyBorder="1" applyAlignment="1" applyProtection="1">
      <alignment vertical="center"/>
    </xf>
    <xf numFmtId="14" fontId="54" fillId="23" borderId="41" xfId="166" applyNumberFormat="1" applyFont="1" applyFill="1" applyBorder="1" applyAlignment="1" applyProtection="1">
      <alignment horizontal="center" vertical="center"/>
    </xf>
    <xf numFmtId="0" fontId="65" fillId="59" borderId="36" xfId="166" applyFont="1" applyFill="1" applyBorder="1" applyAlignment="1" applyProtection="1">
      <alignment horizontal="left" vertical="center"/>
    </xf>
    <xf numFmtId="0" fontId="49" fillId="59" borderId="36" xfId="166" applyFont="1" applyFill="1" applyBorder="1" applyAlignment="1" applyProtection="1">
      <alignment horizontal="left" vertical="center"/>
    </xf>
    <xf numFmtId="0" fontId="49" fillId="59" borderId="36" xfId="166" applyFont="1" applyFill="1" applyBorder="1" applyAlignment="1" applyProtection="1">
      <alignment vertical="center"/>
    </xf>
    <xf numFmtId="0" fontId="49" fillId="0" borderId="0" xfId="166" applyFont="1" applyAlignment="1" applyProtection="1">
      <alignment vertical="center"/>
    </xf>
    <xf numFmtId="4" fontId="49" fillId="0" borderId="0" xfId="166" applyNumberFormat="1" applyFont="1" applyAlignment="1" applyProtection="1">
      <alignment vertical="center"/>
    </xf>
    <xf numFmtId="0" fontId="54" fillId="0" borderId="46" xfId="166" applyFont="1" applyBorder="1" applyAlignment="1" applyProtection="1">
      <alignment vertical="center"/>
    </xf>
    <xf numFmtId="0" fontId="52" fillId="0" borderId="46" xfId="166" applyFont="1" applyBorder="1" applyAlignment="1" applyProtection="1">
      <alignment vertical="center"/>
    </xf>
    <xf numFmtId="168" fontId="54" fillId="0" borderId="0" xfId="166" applyNumberFormat="1" applyFont="1" applyAlignment="1" applyProtection="1">
      <alignment vertical="center"/>
    </xf>
    <xf numFmtId="0" fontId="8" fillId="60" borderId="0" xfId="167" applyFont="1" applyFill="1" applyAlignment="1" applyProtection="1">
      <alignment vertical="center"/>
    </xf>
    <xf numFmtId="0" fontId="7" fillId="60" borderId="0" xfId="167" applyFont="1" applyFill="1" applyAlignment="1" applyProtection="1">
      <alignment vertical="center"/>
    </xf>
    <xf numFmtId="0" fontId="61" fillId="60" borderId="0" xfId="166" applyFont="1" applyFill="1" applyAlignment="1" applyProtection="1">
      <alignment vertical="center"/>
    </xf>
    <xf numFmtId="0" fontId="62" fillId="60" borderId="0" xfId="166" applyFont="1" applyFill="1" applyAlignment="1" applyProtection="1">
      <alignment vertical="center"/>
    </xf>
    <xf numFmtId="0" fontId="54" fillId="60" borderId="0" xfId="166" applyFont="1" applyFill="1" applyAlignment="1" applyProtection="1">
      <alignment vertical="center"/>
    </xf>
    <xf numFmtId="0" fontId="49" fillId="60" borderId="0" xfId="166" applyFont="1" applyFill="1" applyAlignment="1" applyProtection="1">
      <alignment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wrapText="1"/>
    </xf>
    <xf numFmtId="0" fontId="3" fillId="0" borderId="0" xfId="0" applyFont="1" applyFill="1" applyAlignment="1" applyProtection="1">
      <alignment horizontal="left" vertical="center" wrapText="1"/>
    </xf>
    <xf numFmtId="4" fontId="4" fillId="0" borderId="0" xfId="0" applyNumberFormat="1" applyFont="1" applyFill="1" applyAlignment="1" applyProtection="1">
      <alignment horizontal="center" vertical="center"/>
    </xf>
    <xf numFmtId="4" fontId="8" fillId="0" borderId="0" xfId="167" applyNumberFormat="1" applyFont="1" applyFill="1" applyAlignment="1" applyProtection="1">
      <alignment horizontal="left" vertical="center"/>
    </xf>
    <xf numFmtId="164" fontId="47" fillId="0" borderId="48" xfId="168" applyFont="1" applyFill="1" applyBorder="1" applyAlignment="1" applyProtection="1">
      <alignment horizontal="center" vertical="center"/>
    </xf>
    <xf numFmtId="0" fontId="63" fillId="57" borderId="38" xfId="166" applyFont="1" applyFill="1" applyBorder="1" applyAlignment="1" applyProtection="1">
      <alignment vertical="center"/>
    </xf>
    <xf numFmtId="0" fontId="64" fillId="0" borderId="0" xfId="166" applyFont="1" applyAlignment="1" applyProtection="1">
      <alignment vertical="center"/>
    </xf>
    <xf numFmtId="0" fontId="65" fillId="58" borderId="63" xfId="166" applyFont="1" applyFill="1" applyBorder="1" applyAlignment="1" applyProtection="1">
      <alignment horizontal="center" vertical="center"/>
    </xf>
    <xf numFmtId="0" fontId="65" fillId="58" borderId="67" xfId="166" applyFont="1" applyFill="1" applyBorder="1" applyAlignment="1" applyProtection="1">
      <alignment horizontal="center" vertical="center"/>
    </xf>
    <xf numFmtId="168" fontId="65" fillId="58" borderId="67" xfId="169" applyNumberFormat="1" applyFont="1" applyFill="1" applyBorder="1" applyAlignment="1" applyProtection="1">
      <alignment vertical="center"/>
    </xf>
    <xf numFmtId="168" fontId="65" fillId="58" borderId="68" xfId="169" applyNumberFormat="1" applyFont="1" applyFill="1" applyBorder="1" applyAlignment="1" applyProtection="1">
      <alignment vertical="center"/>
    </xf>
    <xf numFmtId="0" fontId="64" fillId="60" borderId="0" xfId="166" applyFont="1" applyFill="1" applyAlignment="1" applyProtection="1">
      <alignment vertical="center"/>
    </xf>
    <xf numFmtId="4" fontId="64" fillId="0" borderId="0" xfId="166" applyNumberFormat="1" applyFont="1" applyAlignment="1" applyProtection="1">
      <alignment vertical="center"/>
    </xf>
    <xf numFmtId="1" fontId="49" fillId="0" borderId="69" xfId="166" applyNumberFormat="1" applyFont="1" applyFill="1" applyBorder="1" applyAlignment="1" applyProtection="1">
      <alignment horizontal="center" vertical="center"/>
    </xf>
    <xf numFmtId="0" fontId="49" fillId="0" borderId="1" xfId="166" applyFont="1" applyFill="1" applyBorder="1" applyAlignment="1" applyProtection="1">
      <alignment horizontal="center" vertical="center"/>
    </xf>
    <xf numFmtId="0" fontId="49" fillId="0" borderId="1" xfId="166" applyFont="1" applyFill="1" applyBorder="1" applyAlignment="1" applyProtection="1">
      <alignment horizontal="center" vertical="center" wrapText="1"/>
    </xf>
    <xf numFmtId="168" fontId="49" fillId="0" borderId="1" xfId="169" applyNumberFormat="1" applyFont="1" applyFill="1" applyBorder="1" applyAlignment="1" applyProtection="1">
      <alignment vertical="center"/>
    </xf>
    <xf numFmtId="168" fontId="49" fillId="55" borderId="73" xfId="169" applyNumberFormat="1" applyFont="1" applyFill="1" applyBorder="1" applyAlignment="1" applyProtection="1">
      <alignment vertical="center"/>
    </xf>
    <xf numFmtId="0" fontId="49" fillId="0" borderId="74" xfId="166" quotePrefix="1" applyFont="1" applyBorder="1" applyAlignment="1" applyProtection="1">
      <alignment horizontal="center" vertical="center"/>
    </xf>
    <xf numFmtId="0" fontId="49" fillId="0" borderId="78" xfId="166" applyFont="1" applyBorder="1" applyAlignment="1" applyProtection="1">
      <alignment horizontal="center" vertical="center"/>
    </xf>
    <xf numFmtId="168" fontId="49" fillId="0" borderId="78" xfId="169" applyNumberFormat="1" applyFont="1" applyBorder="1" applyAlignment="1" applyProtection="1">
      <alignment vertical="center"/>
    </xf>
    <xf numFmtId="168" fontId="49" fillId="0" borderId="79" xfId="169" applyNumberFormat="1" applyFont="1" applyBorder="1" applyAlignment="1" applyProtection="1">
      <alignment vertical="center"/>
    </xf>
    <xf numFmtId="0" fontId="54" fillId="0" borderId="0" xfId="166" applyFont="1" applyFill="1" applyAlignment="1" applyProtection="1">
      <alignment vertical="center"/>
    </xf>
    <xf numFmtId="0" fontId="61" fillId="0" borderId="0" xfId="166" applyFont="1" applyFill="1" applyAlignment="1" applyProtection="1">
      <alignment vertical="center"/>
    </xf>
    <xf numFmtId="0" fontId="62" fillId="0" borderId="0" xfId="166" applyFont="1" applyFill="1" applyAlignment="1" applyProtection="1">
      <alignment vertical="center"/>
    </xf>
    <xf numFmtId="0" fontId="64" fillId="0" borderId="0" xfId="166" applyFont="1" applyFill="1" applyAlignment="1" applyProtection="1">
      <alignment vertical="center"/>
    </xf>
    <xf numFmtId="0" fontId="49" fillId="0" borderId="0" xfId="166" applyFont="1" applyFill="1" applyAlignment="1" applyProtection="1">
      <alignment vertical="center"/>
    </xf>
    <xf numFmtId="0" fontId="4" fillId="0" borderId="2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66" fillId="0" borderId="0" xfId="0" applyFont="1" applyAlignment="1">
      <alignment horizontal="left"/>
    </xf>
    <xf numFmtId="0" fontId="3" fillId="0" borderId="0" xfId="0" applyFont="1"/>
    <xf numFmtId="4" fontId="66" fillId="0" borderId="0" xfId="0" applyNumberFormat="1" applyFont="1" applyAlignment="1">
      <alignment horizontal="right"/>
    </xf>
    <xf numFmtId="0" fontId="3" fillId="0" borderId="0" xfId="0" applyFont="1" applyAlignment="1">
      <alignment horizontal="center"/>
    </xf>
    <xf numFmtId="0" fontId="66" fillId="0" borderId="0" xfId="0" applyFont="1" applyAlignment="1">
      <alignment horizontal="center"/>
    </xf>
    <xf numFmtId="0" fontId="3" fillId="63" borderId="109" xfId="0" applyFont="1" applyFill="1" applyBorder="1"/>
    <xf numFmtId="2" fontId="3" fillId="63" borderId="109" xfId="0" applyNumberFormat="1" applyFont="1" applyFill="1" applyBorder="1"/>
    <xf numFmtId="0" fontId="66" fillId="63" borderId="109" xfId="0" applyFont="1" applyFill="1" applyBorder="1" applyAlignment="1">
      <alignment horizontal="center"/>
    </xf>
    <xf numFmtId="0" fontId="66" fillId="0" borderId="0" xfId="0" applyFont="1" applyAlignment="1">
      <alignment horizontal="center" vertical="top"/>
    </xf>
    <xf numFmtId="0" fontId="4" fillId="0" borderId="2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3" fillId="65" borderId="0" xfId="170" applyFont="1" applyFill="1" applyBorder="1" applyAlignment="1" applyProtection="1">
      <alignment horizontal="center" vertical="center" wrapText="1"/>
      <protection locked="0"/>
    </xf>
    <xf numFmtId="0" fontId="3" fillId="65" borderId="0" xfId="170" applyFont="1" applyFill="1" applyAlignment="1" applyProtection="1">
      <alignment vertical="center" wrapText="1"/>
      <protection locked="0"/>
    </xf>
    <xf numFmtId="4" fontId="3" fillId="65" borderId="0" xfId="122" applyNumberFormat="1" applyFont="1" applyFill="1" applyAlignment="1" applyProtection="1">
      <alignment horizontal="right" vertical="center" wrapText="1"/>
      <protection locked="0"/>
    </xf>
    <xf numFmtId="4" fontId="3" fillId="65" borderId="0" xfId="170" applyNumberFormat="1" applyFont="1" applyFill="1" applyAlignment="1" applyProtection="1">
      <alignment vertical="center" wrapText="1"/>
      <protection locked="0"/>
    </xf>
    <xf numFmtId="4" fontId="3" fillId="65" borderId="0" xfId="170" applyNumberFormat="1" applyFont="1" applyFill="1" applyAlignment="1" applyProtection="1">
      <alignment horizontal="right" vertical="center" wrapText="1"/>
      <protection locked="0"/>
    </xf>
    <xf numFmtId="0" fontId="3" fillId="65" borderId="0" xfId="170" applyFont="1" applyFill="1" applyBorder="1" applyAlignment="1" applyProtection="1">
      <alignment horizontal="right" vertical="center" wrapText="1"/>
      <protection locked="0"/>
    </xf>
    <xf numFmtId="0" fontId="3" fillId="65" borderId="0" xfId="170" applyFont="1" applyFill="1" applyBorder="1" applyAlignment="1" applyProtection="1">
      <alignment vertical="center" wrapText="1"/>
      <protection locked="0"/>
    </xf>
    <xf numFmtId="0" fontId="10" fillId="65" borderId="0" xfId="0" applyFont="1" applyFill="1" applyAlignment="1">
      <alignment vertical="center" wrapText="1"/>
    </xf>
    <xf numFmtId="0" fontId="10" fillId="65" borderId="0" xfId="170" applyFont="1" applyFill="1" applyBorder="1" applyAlignment="1" applyProtection="1">
      <alignment vertical="center" wrapText="1"/>
      <protection locked="0"/>
    </xf>
    <xf numFmtId="0" fontId="6" fillId="65" borderId="106" xfId="170" applyFont="1" applyFill="1" applyBorder="1" applyAlignment="1" applyProtection="1">
      <alignment horizontal="center" vertical="center" wrapText="1"/>
      <protection locked="0"/>
    </xf>
    <xf numFmtId="0" fontId="6" fillId="65" borderId="107" xfId="170" applyFont="1" applyFill="1" applyBorder="1" applyAlignment="1" applyProtection="1">
      <alignment horizontal="center" vertical="center" wrapText="1"/>
      <protection locked="0"/>
    </xf>
    <xf numFmtId="4" fontId="6" fillId="65" borderId="107" xfId="170" applyNumberFormat="1" applyFont="1" applyFill="1" applyBorder="1" applyAlignment="1" applyProtection="1">
      <alignment horizontal="center" vertical="center" wrapText="1"/>
      <protection locked="0"/>
    </xf>
    <xf numFmtId="0" fontId="6" fillId="65" borderId="108" xfId="170" applyFont="1" applyFill="1" applyBorder="1" applyAlignment="1" applyProtection="1">
      <alignment horizontal="right" vertical="center" wrapText="1"/>
      <protection locked="0"/>
    </xf>
    <xf numFmtId="1" fontId="10" fillId="65" borderId="106" xfId="170" quotePrefix="1" applyNumberFormat="1" applyFont="1" applyFill="1" applyBorder="1" applyAlignment="1" applyProtection="1">
      <alignment horizontal="center" vertical="center" wrapText="1"/>
    </xf>
    <xf numFmtId="0" fontId="10" fillId="65" borderId="107" xfId="0" quotePrefix="1" applyFont="1" applyFill="1" applyBorder="1" applyAlignment="1" applyProtection="1">
      <alignment horizontal="center" vertical="center" wrapText="1"/>
    </xf>
    <xf numFmtId="0" fontId="10" fillId="65" borderId="107" xfId="0" quotePrefix="1" applyFont="1" applyFill="1" applyBorder="1" applyAlignment="1" applyProtection="1">
      <alignment horizontal="justify" vertical="center" wrapText="1"/>
    </xf>
    <xf numFmtId="43" fontId="10" fillId="65" borderId="107" xfId="170" applyNumberFormat="1" applyFont="1" applyFill="1" applyBorder="1" applyAlignment="1" applyProtection="1">
      <alignment horizontal="center" vertical="center" wrapText="1"/>
    </xf>
    <xf numFmtId="43" fontId="10" fillId="65" borderId="107" xfId="52" applyNumberFormat="1" applyFont="1" applyFill="1" applyBorder="1" applyAlignment="1" applyProtection="1">
      <alignment horizontal="right" vertical="center" wrapText="1"/>
      <protection locked="0"/>
    </xf>
    <xf numFmtId="43" fontId="10" fillId="65" borderId="107" xfId="52" applyNumberFormat="1" applyFont="1" applyFill="1" applyBorder="1" applyAlignment="1" applyProtection="1">
      <alignment horizontal="center" vertical="center" wrapText="1"/>
      <protection locked="0"/>
    </xf>
    <xf numFmtId="10" fontId="10" fillId="65" borderId="108" xfId="52" applyNumberFormat="1" applyFont="1" applyFill="1" applyBorder="1" applyAlignment="1" applyProtection="1">
      <alignment horizontal="right" vertical="center" wrapText="1"/>
      <protection locked="0"/>
    </xf>
    <xf numFmtId="1" fontId="10" fillId="65" borderId="106" xfId="170" applyNumberFormat="1" applyFont="1" applyFill="1" applyBorder="1" applyAlignment="1" applyProtection="1">
      <alignment horizontal="center" vertical="center" wrapText="1"/>
    </xf>
    <xf numFmtId="1" fontId="10" fillId="65" borderId="107" xfId="170" applyNumberFormat="1" applyFont="1" applyFill="1" applyBorder="1" applyAlignment="1" applyProtection="1">
      <alignment horizontal="center" vertical="center" wrapText="1"/>
    </xf>
    <xf numFmtId="43" fontId="10" fillId="65" borderId="107" xfId="122" applyNumberFormat="1" applyFont="1" applyFill="1" applyBorder="1" applyAlignment="1" applyProtection="1">
      <alignment horizontal="right" vertical="center" wrapText="1"/>
      <protection locked="0"/>
    </xf>
    <xf numFmtId="1" fontId="6" fillId="66" borderId="106" xfId="170" applyNumberFormat="1" applyFont="1" applyFill="1" applyBorder="1" applyAlignment="1" applyProtection="1">
      <alignment horizontal="center" vertical="center" wrapText="1"/>
    </xf>
    <xf numFmtId="1" fontId="6" fillId="66" borderId="107" xfId="170" applyNumberFormat="1" applyFont="1" applyFill="1" applyBorder="1" applyAlignment="1" applyProtection="1">
      <alignment horizontal="center" vertical="center" wrapText="1"/>
    </xf>
    <xf numFmtId="43" fontId="6" fillId="67" borderId="107" xfId="52" applyNumberFormat="1" applyFont="1" applyFill="1" applyBorder="1" applyAlignment="1" applyProtection="1">
      <alignment horizontal="right" vertical="center" wrapText="1"/>
      <protection locked="0"/>
    </xf>
    <xf numFmtId="43" fontId="6" fillId="66" borderId="107" xfId="122" applyNumberFormat="1" applyFont="1" applyFill="1" applyBorder="1" applyAlignment="1" applyProtection="1">
      <alignment horizontal="right" vertical="center" wrapText="1"/>
      <protection locked="0"/>
    </xf>
    <xf numFmtId="43" fontId="10" fillId="66" borderId="107" xfId="52" applyNumberFormat="1" applyFont="1" applyFill="1" applyBorder="1" applyAlignment="1" applyProtection="1">
      <alignment horizontal="right" vertical="center" wrapText="1"/>
      <protection locked="0"/>
    </xf>
    <xf numFmtId="43" fontId="6" fillId="66" borderId="107" xfId="52" applyNumberFormat="1" applyFont="1" applyFill="1" applyBorder="1" applyAlignment="1" applyProtection="1">
      <alignment horizontal="right" vertical="center" wrapText="1"/>
      <protection locked="0"/>
    </xf>
    <xf numFmtId="10" fontId="6" fillId="67" borderId="108" xfId="52" applyNumberFormat="1" applyFont="1" applyFill="1" applyBorder="1" applyAlignment="1" applyProtection="1">
      <alignment horizontal="right" vertical="center" wrapText="1"/>
      <protection locked="0"/>
    </xf>
    <xf numFmtId="43" fontId="6" fillId="67" borderId="107" xfId="52" applyNumberFormat="1" applyFont="1" applyFill="1" applyBorder="1" applyAlignment="1" applyProtection="1">
      <alignment horizontal="center" vertical="center" wrapText="1"/>
      <protection locked="0"/>
    </xf>
    <xf numFmtId="0" fontId="50" fillId="65" borderId="0" xfId="170" applyFont="1" applyFill="1" applyBorder="1" applyAlignment="1" applyProtection="1">
      <alignment vertical="center" wrapText="1"/>
      <protection locked="0"/>
    </xf>
    <xf numFmtId="0" fontId="53" fillId="65" borderId="0" xfId="170" applyFont="1" applyFill="1" applyBorder="1" applyAlignment="1" applyProtection="1">
      <alignment vertical="center" wrapText="1"/>
      <protection locked="0"/>
    </xf>
    <xf numFmtId="0" fontId="3" fillId="65" borderId="0" xfId="174" applyFont="1" applyFill="1" applyBorder="1" applyAlignment="1" applyProtection="1">
      <alignment vertical="center" wrapText="1"/>
      <protection locked="0"/>
    </xf>
    <xf numFmtId="17" fontId="3" fillId="0" borderId="0" xfId="0" applyNumberFormat="1" applyFont="1" applyFill="1" applyAlignment="1" applyProtection="1">
      <alignment horizontal="center" vertical="center"/>
    </xf>
    <xf numFmtId="0" fontId="3" fillId="0" borderId="0" xfId="0" applyFont="1" applyFill="1" applyBorder="1" applyAlignment="1" applyProtection="1">
      <alignment vertical="center"/>
    </xf>
    <xf numFmtId="16" fontId="3" fillId="0" borderId="0" xfId="0" applyNumberFormat="1" applyFont="1" applyFill="1" applyAlignment="1" applyProtection="1">
      <alignment vertical="center" wrapText="1"/>
    </xf>
    <xf numFmtId="0" fontId="4" fillId="0" borderId="7" xfId="0" applyFont="1" applyFill="1" applyBorder="1" applyAlignment="1" applyProtection="1">
      <alignment horizontal="left" vertical="center"/>
    </xf>
    <xf numFmtId="0" fontId="4" fillId="0" borderId="7"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3" xfId="0" applyFont="1" applyFill="1" applyBorder="1" applyAlignment="1" applyProtection="1">
      <alignment horizontal="center" vertical="center" wrapText="1" shrinkToFit="1"/>
    </xf>
    <xf numFmtId="0" fontId="4" fillId="0" borderId="113" xfId="0" applyFont="1" applyFill="1" applyBorder="1" applyAlignment="1" applyProtection="1">
      <alignment horizontal="center" vertical="center"/>
    </xf>
    <xf numFmtId="0" fontId="4" fillId="0" borderId="7" xfId="0" applyFont="1" applyFill="1" applyBorder="1" applyAlignment="1" applyProtection="1">
      <alignment horizontal="right" vertical="center"/>
    </xf>
    <xf numFmtId="0" fontId="4" fillId="0" borderId="24" xfId="0" applyFont="1" applyFill="1" applyBorder="1" applyAlignment="1" applyProtection="1">
      <alignment horizontal="right" vertical="center" wrapText="1" shrinkToFit="1"/>
    </xf>
    <xf numFmtId="0" fontId="4" fillId="0" borderId="7" xfId="0" applyFont="1" applyFill="1" applyBorder="1" applyAlignment="1" applyProtection="1">
      <alignment vertical="center" wrapText="1" shrinkToFit="1"/>
    </xf>
    <xf numFmtId="0" fontId="4" fillId="0" borderId="24" xfId="0" applyFont="1" applyFill="1" applyBorder="1" applyAlignment="1" applyProtection="1">
      <alignment horizontal="right" vertical="center"/>
    </xf>
    <xf numFmtId="0" fontId="4" fillId="0" borderId="11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89" xfId="0" applyFont="1" applyFill="1" applyBorder="1" applyAlignment="1" applyProtection="1">
      <alignment horizontal="center" vertical="center"/>
    </xf>
    <xf numFmtId="0" fontId="4" fillId="0" borderId="111"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7" fillId="0" borderId="89" xfId="0" applyNumberFormat="1" applyFont="1" applyFill="1" applyBorder="1" applyAlignment="1" applyProtection="1">
      <alignment horizontal="center" vertical="center" wrapText="1"/>
    </xf>
    <xf numFmtId="0" fontId="47" fillId="60" borderId="87" xfId="0" applyNumberFormat="1" applyFont="1" applyFill="1" applyBorder="1" applyAlignment="1" applyProtection="1">
      <alignment horizontal="center" vertical="center" wrapText="1"/>
    </xf>
    <xf numFmtId="0" fontId="3" fillId="0" borderId="120" xfId="0" applyFont="1" applyFill="1" applyBorder="1" applyAlignment="1" applyProtection="1">
      <alignment horizontal="center" vertical="center"/>
    </xf>
    <xf numFmtId="167" fontId="3" fillId="60" borderId="120" xfId="0" applyNumberFormat="1" applyFont="1" applyFill="1" applyBorder="1" applyAlignment="1" applyProtection="1">
      <alignment horizontal="center" vertical="center"/>
    </xf>
    <xf numFmtId="0" fontId="47" fillId="0" borderId="92" xfId="0" applyNumberFormat="1" applyFont="1" applyFill="1" applyBorder="1" applyAlignment="1" applyProtection="1">
      <alignment horizontal="center" vertical="center" wrapText="1"/>
    </xf>
    <xf numFmtId="0" fontId="47" fillId="60" borderId="0" xfId="0" applyNumberFormat="1" applyFont="1" applyFill="1" applyBorder="1" applyAlignment="1" applyProtection="1">
      <alignment horizontal="center" vertical="center" wrapText="1"/>
    </xf>
    <xf numFmtId="0" fontId="3" fillId="0" borderId="102" xfId="0" applyFont="1" applyFill="1" applyBorder="1" applyAlignment="1" applyProtection="1">
      <alignment horizontal="center" vertical="center"/>
    </xf>
    <xf numFmtId="167" fontId="3" fillId="60" borderId="102" xfId="0" applyNumberFormat="1" applyFont="1" applyFill="1" applyBorder="1" applyAlignment="1" applyProtection="1">
      <alignment horizontal="center" vertical="center"/>
    </xf>
    <xf numFmtId="0" fontId="3" fillId="0" borderId="83" xfId="0" applyFont="1" applyFill="1" applyBorder="1" applyAlignment="1" applyProtection="1">
      <alignment horizontal="center" vertical="center"/>
    </xf>
    <xf numFmtId="0" fontId="3" fillId="0" borderId="113"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10" fontId="4" fillId="0" borderId="7" xfId="50" applyNumberFormat="1"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11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applyFont="1" applyFill="1" applyBorder="1" applyAlignment="1" applyProtection="1">
      <alignment horizontal="left" vertical="center"/>
    </xf>
    <xf numFmtId="0" fontId="4" fillId="0" borderId="2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7" fillId="0" borderId="122" xfId="0" applyNumberFormat="1" applyFont="1" applyFill="1" applyBorder="1" applyAlignment="1" applyProtection="1">
      <alignment horizontal="center" vertical="center" wrapText="1"/>
    </xf>
    <xf numFmtId="0" fontId="47" fillId="0" borderId="0" xfId="0" applyNumberFormat="1" applyFont="1" applyFill="1" applyBorder="1" applyAlignment="1" applyProtection="1">
      <alignment horizontal="center" vertical="center" wrapText="1"/>
    </xf>
    <xf numFmtId="167" fontId="3" fillId="0" borderId="102" xfId="0" applyNumberFormat="1"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4" fillId="0" borderId="116" xfId="0" applyFont="1" applyFill="1" applyBorder="1" applyAlignment="1" applyProtection="1">
      <alignment horizontal="center" vertical="center"/>
    </xf>
    <xf numFmtId="165" fontId="3" fillId="0" borderId="12" xfId="0" applyNumberFormat="1"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15" xfId="0" applyFont="1" applyFill="1" applyBorder="1" applyAlignment="1" applyProtection="1">
      <alignment horizontal="center" vertical="center"/>
    </xf>
    <xf numFmtId="0" fontId="4" fillId="0" borderId="7" xfId="0" applyFont="1" applyFill="1" applyBorder="1" applyAlignment="1" applyProtection="1">
      <alignment vertical="center"/>
    </xf>
    <xf numFmtId="0" fontId="4" fillId="0" borderId="84" xfId="0" applyFont="1" applyFill="1" applyBorder="1" applyAlignment="1" applyProtection="1">
      <alignment horizontal="right" vertical="center" wrapText="1" shrinkToFit="1"/>
    </xf>
    <xf numFmtId="4" fontId="4" fillId="0" borderId="91" xfId="0" applyNumberFormat="1" applyFont="1" applyFill="1" applyBorder="1" applyAlignment="1" applyProtection="1">
      <alignment horizontal="center" vertical="center"/>
    </xf>
    <xf numFmtId="0" fontId="4" fillId="0" borderId="121" xfId="0" applyFont="1" applyFill="1" applyBorder="1" applyAlignment="1" applyProtection="1">
      <alignment horizontal="center" vertical="center" wrapText="1" shrinkToFit="1"/>
    </xf>
    <xf numFmtId="4" fontId="4" fillId="0" borderId="97" xfId="0" applyNumberFormat="1" applyFont="1" applyFill="1" applyBorder="1" applyAlignment="1" applyProtection="1">
      <alignment horizontal="center" vertical="center"/>
    </xf>
    <xf numFmtId="170" fontId="4" fillId="0" borderId="97" xfId="0" applyNumberFormat="1" applyFont="1" applyFill="1" applyBorder="1" applyAlignment="1" applyProtection="1">
      <alignment horizontal="center" vertical="center"/>
    </xf>
    <xf numFmtId="0" fontId="4" fillId="0" borderId="109" xfId="0" applyFont="1" applyFill="1" applyBorder="1" applyAlignment="1" applyProtection="1">
      <alignment horizontal="center" vertical="center" wrapText="1"/>
    </xf>
    <xf numFmtId="0" fontId="4" fillId="0" borderId="109" xfId="0" applyFont="1" applyFill="1" applyBorder="1" applyAlignment="1" applyProtection="1">
      <alignment horizontal="center" vertical="center"/>
    </xf>
    <xf numFmtId="4" fontId="4" fillId="0" borderId="109" xfId="0" applyNumberFormat="1" applyFont="1" applyFill="1" applyBorder="1" applyAlignment="1" applyProtection="1">
      <alignment vertical="center" wrapText="1"/>
    </xf>
    <xf numFmtId="4" fontId="4" fillId="0" borderId="109" xfId="0" applyNumberFormat="1" applyFont="1" applyFill="1" applyBorder="1" applyAlignment="1" applyProtection="1">
      <alignment vertical="center"/>
    </xf>
    <xf numFmtId="0" fontId="4" fillId="0" borderId="0" xfId="0" applyFont="1" applyFill="1" applyBorder="1" applyAlignment="1" applyProtection="1">
      <alignment vertical="center"/>
    </xf>
    <xf numFmtId="0" fontId="3" fillId="0" borderId="110" xfId="0" applyFont="1" applyFill="1" applyBorder="1" applyAlignment="1" applyProtection="1">
      <alignment horizontal="left" vertical="center" wrapText="1"/>
    </xf>
    <xf numFmtId="10" fontId="3" fillId="0" borderId="0" xfId="0" applyNumberFormat="1" applyFont="1" applyFill="1" applyAlignment="1" applyProtection="1">
      <alignment horizontal="left" vertical="center" wrapText="1"/>
    </xf>
    <xf numFmtId="0" fontId="4" fillId="0" borderId="7" xfId="0" applyFont="1" applyFill="1" applyBorder="1" applyAlignment="1" applyProtection="1">
      <alignment horizontal="left" vertical="center" wrapText="1"/>
    </xf>
    <xf numFmtId="1" fontId="4" fillId="0" borderId="7" xfId="0" applyNumberFormat="1" applyFont="1" applyFill="1" applyBorder="1" applyAlignment="1" applyProtection="1">
      <alignment horizontal="right" vertical="center" wrapText="1"/>
    </xf>
    <xf numFmtId="0" fontId="4" fillId="0" borderId="8" xfId="0" applyFont="1" applyFill="1" applyBorder="1" applyAlignment="1" applyProtection="1">
      <alignment horizontal="left" vertical="center" wrapText="1"/>
    </xf>
    <xf numFmtId="0" fontId="3" fillId="0" borderId="99" xfId="0" applyFont="1" applyFill="1" applyBorder="1" applyAlignment="1" applyProtection="1">
      <alignment horizontal="left" vertical="center" wrapText="1"/>
    </xf>
    <xf numFmtId="0" fontId="68" fillId="0" borderId="11"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64" fillId="0" borderId="0" xfId="166" applyFont="1" applyAlignment="1" applyProtection="1">
      <alignment horizontal="center" vertical="center"/>
    </xf>
    <xf numFmtId="4" fontId="3" fillId="0" borderId="0" xfId="0" applyNumberFormat="1" applyFont="1"/>
    <xf numFmtId="164" fontId="47" fillId="0" borderId="48" xfId="168" applyFont="1" applyFill="1" applyBorder="1" applyAlignment="1" applyProtection="1">
      <alignment horizontal="center" vertical="center"/>
    </xf>
    <xf numFmtId="43" fontId="10" fillId="0" borderId="107" xfId="170" applyNumberFormat="1" applyFont="1" applyFill="1" applyBorder="1" applyAlignment="1" applyProtection="1">
      <alignment horizontal="center" vertical="center" wrapText="1"/>
    </xf>
    <xf numFmtId="0" fontId="10" fillId="0" borderId="107" xfId="0" quotePrefix="1" applyFont="1" applyFill="1" applyBorder="1" applyAlignment="1" applyProtection="1">
      <alignment horizontal="justify" vertical="center" wrapText="1"/>
    </xf>
    <xf numFmtId="4" fontId="6" fillId="62" borderId="107" xfId="170" applyNumberFormat="1" applyFont="1" applyFill="1" applyBorder="1" applyAlignment="1" applyProtection="1">
      <alignment horizontal="center" vertical="center" wrapText="1"/>
      <protection locked="0"/>
    </xf>
    <xf numFmtId="0" fontId="6" fillId="62" borderId="106" xfId="170" applyFont="1" applyFill="1" applyBorder="1" applyAlignment="1" applyProtection="1">
      <alignment horizontal="center" vertical="center" wrapText="1"/>
    </xf>
    <xf numFmtId="0" fontId="6" fillId="62" borderId="107" xfId="170" applyFont="1" applyFill="1" applyBorder="1" applyAlignment="1" applyProtection="1">
      <alignment horizontal="center" vertical="center" wrapText="1"/>
    </xf>
    <xf numFmtId="1" fontId="6" fillId="62" borderId="107" xfId="170" applyNumberFormat="1" applyFont="1" applyFill="1" applyBorder="1" applyAlignment="1" applyProtection="1">
      <alignment horizontal="left" vertical="center" wrapText="1"/>
    </xf>
    <xf numFmtId="164" fontId="6" fillId="62" borderId="107" xfId="122" applyFont="1" applyFill="1" applyBorder="1" applyAlignment="1" applyProtection="1">
      <alignment horizontal="right" vertical="center" wrapText="1"/>
      <protection locked="0"/>
    </xf>
    <xf numFmtId="164" fontId="10" fillId="62" borderId="107" xfId="122" applyFont="1" applyFill="1" applyBorder="1" applyAlignment="1" applyProtection="1">
      <alignment horizontal="right" vertical="center" wrapText="1"/>
      <protection locked="0"/>
    </xf>
    <xf numFmtId="164" fontId="6" fillId="62" borderId="107" xfId="122" applyFont="1" applyFill="1" applyBorder="1" applyAlignment="1" applyProtection="1">
      <alignment horizontal="center" vertical="center" wrapText="1"/>
      <protection locked="0"/>
    </xf>
    <xf numFmtId="10" fontId="6" fillId="62" borderId="108" xfId="122" applyNumberFormat="1" applyFont="1" applyFill="1" applyBorder="1" applyAlignment="1" applyProtection="1">
      <alignment horizontal="right" vertical="center" wrapText="1"/>
      <protection locked="0"/>
    </xf>
    <xf numFmtId="0" fontId="6" fillId="62" borderId="103" xfId="170" applyFont="1" applyFill="1" applyBorder="1" applyAlignment="1" applyProtection="1">
      <alignment horizontal="center" vertical="center" wrapText="1"/>
      <protection locked="0"/>
    </xf>
    <xf numFmtId="0" fontId="6" fillId="62" borderId="104" xfId="170" applyFont="1" applyFill="1" applyBorder="1" applyAlignment="1" applyProtection="1">
      <alignment horizontal="center" vertical="center" wrapText="1"/>
      <protection locked="0"/>
    </xf>
    <xf numFmtId="4" fontId="6" fillId="62" borderId="104" xfId="170" applyNumberFormat="1" applyFont="1" applyFill="1" applyBorder="1" applyAlignment="1" applyProtection="1">
      <alignment horizontal="center" vertical="center" wrapText="1"/>
      <protection locked="0"/>
    </xf>
    <xf numFmtId="0" fontId="6" fillId="62" borderId="105" xfId="170" applyFont="1" applyFill="1" applyBorder="1" applyAlignment="1" applyProtection="1">
      <alignment horizontal="center" vertical="center" wrapText="1"/>
      <protection locked="0"/>
    </xf>
    <xf numFmtId="1" fontId="6" fillId="56" borderId="106" xfId="170" applyNumberFormat="1" applyFont="1" applyFill="1" applyBorder="1" applyAlignment="1" applyProtection="1">
      <alignment horizontal="center" vertical="center" wrapText="1"/>
    </xf>
    <xf numFmtId="1" fontId="6" fillId="56" borderId="107" xfId="170" applyNumberFormat="1" applyFont="1" applyFill="1" applyBorder="1" applyAlignment="1" applyProtection="1">
      <alignment horizontal="center" vertical="center" wrapText="1"/>
    </xf>
    <xf numFmtId="43" fontId="6" fillId="56" borderId="107" xfId="52" applyNumberFormat="1" applyFont="1" applyFill="1" applyBorder="1" applyAlignment="1" applyProtection="1">
      <alignment horizontal="right" vertical="center" wrapText="1"/>
      <protection locked="0"/>
    </xf>
    <xf numFmtId="43" fontId="6" fillId="56" borderId="107" xfId="122" applyNumberFormat="1" applyFont="1" applyFill="1" applyBorder="1" applyAlignment="1" applyProtection="1">
      <alignment horizontal="right" vertical="center" wrapText="1"/>
      <protection locked="0"/>
    </xf>
    <xf numFmtId="43" fontId="10" fillId="56" borderId="107" xfId="52" applyNumberFormat="1" applyFont="1" applyFill="1" applyBorder="1" applyAlignment="1" applyProtection="1">
      <alignment horizontal="right" vertical="center" wrapText="1"/>
      <protection locked="0"/>
    </xf>
    <xf numFmtId="43" fontId="6" fillId="56" borderId="107" xfId="52" applyNumberFormat="1" applyFont="1" applyFill="1" applyBorder="1" applyAlignment="1" applyProtection="1">
      <alignment horizontal="center" vertical="center" wrapText="1"/>
      <protection locked="0"/>
    </xf>
    <xf numFmtId="10" fontId="6" fillId="56" borderId="108" xfId="52" applyNumberFormat="1" applyFont="1" applyFill="1" applyBorder="1" applyAlignment="1" applyProtection="1">
      <alignment horizontal="right" vertical="center" wrapText="1"/>
      <protection locked="0"/>
    </xf>
    <xf numFmtId="43" fontId="70" fillId="62" borderId="107" xfId="52" applyNumberFormat="1" applyFont="1" applyFill="1" applyBorder="1" applyAlignment="1" applyProtection="1">
      <alignment horizontal="center" vertical="center" wrapText="1"/>
      <protection locked="0"/>
    </xf>
    <xf numFmtId="10" fontId="71" fillId="62" borderId="108" xfId="52" applyNumberFormat="1" applyFont="1" applyFill="1" applyBorder="1" applyAlignment="1" applyProtection="1">
      <alignment horizontal="right" vertical="center" wrapText="1"/>
      <protection locked="0"/>
    </xf>
    <xf numFmtId="0" fontId="71" fillId="65" borderId="0" xfId="170" applyFont="1" applyFill="1" applyBorder="1" applyAlignment="1" applyProtection="1">
      <alignment vertical="center" wrapText="1"/>
      <protection locked="0"/>
    </xf>
    <xf numFmtId="1" fontId="71" fillId="65" borderId="106" xfId="170" quotePrefix="1" applyNumberFormat="1" applyFont="1" applyFill="1" applyBorder="1" applyAlignment="1" applyProtection="1">
      <alignment horizontal="center" vertical="center" wrapText="1"/>
    </xf>
    <xf numFmtId="0" fontId="71" fillId="65" borderId="107" xfId="0" quotePrefix="1" applyFont="1" applyFill="1" applyBorder="1" applyAlignment="1" applyProtection="1">
      <alignment horizontal="center" vertical="center" wrapText="1"/>
    </xf>
    <xf numFmtId="0" fontId="71" fillId="65" borderId="107" xfId="0" quotePrefix="1" applyFont="1" applyFill="1" applyBorder="1" applyAlignment="1" applyProtection="1">
      <alignment horizontal="justify" vertical="center" wrapText="1"/>
    </xf>
    <xf numFmtId="43" fontId="71" fillId="65" borderId="107" xfId="170" applyNumberFormat="1" applyFont="1" applyFill="1" applyBorder="1" applyAlignment="1" applyProtection="1">
      <alignment horizontal="center" vertical="center" wrapText="1"/>
    </xf>
    <xf numFmtId="43" fontId="71" fillId="65" borderId="107" xfId="52" applyNumberFormat="1" applyFont="1" applyFill="1" applyBorder="1" applyAlignment="1" applyProtection="1">
      <alignment horizontal="right" vertical="center" wrapText="1"/>
      <protection locked="0"/>
    </xf>
    <xf numFmtId="43" fontId="71" fillId="65" borderId="107" xfId="52" applyNumberFormat="1" applyFont="1" applyFill="1" applyBorder="1" applyAlignment="1" applyProtection="1">
      <alignment horizontal="center" vertical="center" wrapText="1"/>
      <protection locked="0"/>
    </xf>
    <xf numFmtId="10" fontId="71" fillId="65" borderId="108" xfId="52" applyNumberFormat="1" applyFont="1" applyFill="1" applyBorder="1" applyAlignment="1" applyProtection="1">
      <alignment horizontal="right" vertical="center" wrapText="1"/>
      <protection locked="0"/>
    </xf>
    <xf numFmtId="0" fontId="10" fillId="65" borderId="0" xfId="0" applyFont="1" applyFill="1" applyBorder="1" applyAlignment="1">
      <alignment vertical="center" wrapText="1"/>
    </xf>
    <xf numFmtId="43" fontId="10" fillId="65" borderId="99" xfId="170" applyNumberFormat="1" applyFont="1" applyFill="1" applyBorder="1" applyAlignment="1" applyProtection="1">
      <alignment horizontal="center" vertical="center" wrapText="1"/>
    </xf>
    <xf numFmtId="43" fontId="10" fillId="65" borderId="0" xfId="170" applyNumberFormat="1" applyFont="1" applyFill="1" applyBorder="1" applyAlignment="1" applyProtection="1">
      <alignment horizontal="center" vertical="center" wrapText="1"/>
    </xf>
    <xf numFmtId="43" fontId="10" fillId="65" borderId="91" xfId="170" applyNumberFormat="1"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xf>
    <xf numFmtId="0" fontId="4" fillId="0" borderId="11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applyFont="1" applyFill="1" applyBorder="1" applyAlignment="1" applyProtection="1">
      <alignment horizontal="left" vertical="center"/>
    </xf>
    <xf numFmtId="0" fontId="3" fillId="0" borderId="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64" fontId="47" fillId="0" borderId="48" xfId="168" applyFont="1" applyFill="1" applyBorder="1" applyAlignment="1" applyProtection="1">
      <alignment horizontal="center" vertical="center"/>
    </xf>
    <xf numFmtId="4" fontId="3" fillId="63" borderId="109" xfId="0" applyNumberFormat="1" applyFont="1" applyFill="1" applyBorder="1"/>
    <xf numFmtId="0" fontId="47" fillId="60" borderId="102" xfId="0" applyNumberFormat="1" applyFont="1" applyFill="1" applyBorder="1" applyAlignment="1" applyProtection="1">
      <alignment horizontal="center" vertical="center" wrapText="1"/>
    </xf>
    <xf numFmtId="0" fontId="3" fillId="0" borderId="124" xfId="0" applyFont="1" applyFill="1" applyBorder="1" applyAlignment="1" applyProtection="1">
      <alignment horizontal="center" vertical="center"/>
    </xf>
    <xf numFmtId="169" fontId="3" fillId="0" borderId="85" xfId="0" applyNumberFormat="1" applyFont="1" applyFill="1" applyBorder="1" applyAlignment="1" applyProtection="1">
      <alignment horizontal="right" vertical="center" wrapText="1" shrinkToFit="1"/>
    </xf>
    <xf numFmtId="168" fontId="65" fillId="58" borderId="67" xfId="169" applyNumberFormat="1"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11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applyFont="1" applyFill="1" applyBorder="1" applyAlignment="1" applyProtection="1">
      <alignment horizontal="left" vertical="center"/>
    </xf>
    <xf numFmtId="0" fontId="3" fillId="0" borderId="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64" fontId="47" fillId="0" borderId="48" xfId="168" applyFont="1" applyFill="1" applyBorder="1" applyAlignment="1" applyProtection="1">
      <alignment horizontal="center" vertical="center"/>
    </xf>
    <xf numFmtId="0" fontId="57" fillId="0" borderId="0" xfId="166" applyFont="1" applyBorder="1" applyAlignment="1" applyProtection="1">
      <alignment horizontal="center" vertical="center"/>
    </xf>
    <xf numFmtId="0" fontId="54" fillId="23" borderId="40" xfId="166" applyFont="1" applyFill="1" applyBorder="1" applyAlignment="1" applyProtection="1">
      <alignment horizontal="center" vertical="center"/>
    </xf>
    <xf numFmtId="164" fontId="47" fillId="0" borderId="48" xfId="168" applyFont="1" applyFill="1" applyBorder="1" applyAlignment="1" applyProtection="1">
      <alignment horizontal="center" vertical="center"/>
    </xf>
    <xf numFmtId="1" fontId="49" fillId="0" borderId="129" xfId="166" applyNumberFormat="1" applyFont="1" applyFill="1" applyBorder="1" applyAlignment="1" applyProtection="1">
      <alignment horizontal="center" vertical="center"/>
    </xf>
    <xf numFmtId="0" fontId="49" fillId="0" borderId="130" xfId="166" applyFont="1" applyFill="1" applyBorder="1" applyAlignment="1" applyProtection="1">
      <alignment horizontal="center" vertical="center" wrapText="1"/>
    </xf>
    <xf numFmtId="168" fontId="49" fillId="0" borderId="130" xfId="169" applyNumberFormat="1" applyFont="1" applyFill="1" applyBorder="1" applyAlignment="1" applyProtection="1">
      <alignment vertical="center"/>
    </xf>
    <xf numFmtId="168" fontId="49" fillId="55" borderId="131" xfId="169" applyNumberFormat="1" applyFont="1" applyFill="1" applyBorder="1" applyAlignment="1" applyProtection="1">
      <alignment vertical="center"/>
    </xf>
    <xf numFmtId="1" fontId="49" fillId="0" borderId="132" xfId="166" applyNumberFormat="1" applyFont="1" applyFill="1" applyBorder="1" applyAlignment="1" applyProtection="1">
      <alignment horizontal="center" vertical="center"/>
    </xf>
    <xf numFmtId="0" fontId="49" fillId="0" borderId="133" xfId="166" applyFont="1" applyFill="1" applyBorder="1" applyAlignment="1" applyProtection="1">
      <alignment horizontal="center" vertical="center" wrapText="1"/>
    </xf>
    <xf numFmtId="168" fontId="49" fillId="0" borderId="133" xfId="169" applyNumberFormat="1" applyFont="1" applyFill="1" applyBorder="1" applyAlignment="1" applyProtection="1">
      <alignment vertical="center"/>
    </xf>
    <xf numFmtId="168" fontId="49" fillId="55" borderId="134" xfId="169" applyNumberFormat="1" applyFont="1" applyFill="1" applyBorder="1" applyAlignment="1" applyProtection="1">
      <alignment vertical="center"/>
    </xf>
    <xf numFmtId="0" fontId="4" fillId="0" borderId="24" xfId="0" applyFont="1" applyFill="1" applyBorder="1" applyAlignment="1" applyProtection="1">
      <alignment horizontal="center" vertical="center"/>
    </xf>
    <xf numFmtId="0" fontId="4" fillId="0" borderId="11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applyFont="1" applyFill="1" applyBorder="1" applyAlignment="1" applyProtection="1">
      <alignment horizontal="left" vertical="center"/>
    </xf>
    <xf numFmtId="0" fontId="3" fillId="0" borderId="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64" fontId="47" fillId="0" borderId="48" xfId="168" applyFont="1" applyFill="1" applyBorder="1" applyAlignment="1" applyProtection="1">
      <alignment horizontal="center" vertical="center"/>
    </xf>
    <xf numFmtId="168" fontId="49" fillId="0" borderId="1" xfId="169" applyNumberFormat="1" applyFont="1" applyFill="1" applyBorder="1" applyAlignment="1" applyProtection="1">
      <alignment horizontal="center" vertical="center"/>
    </xf>
    <xf numFmtId="0" fontId="54" fillId="23" borderId="40" xfId="166" applyFont="1" applyFill="1" applyBorder="1" applyAlignment="1" applyProtection="1">
      <alignment vertical="center"/>
    </xf>
    <xf numFmtId="168" fontId="49" fillId="0" borderId="135" xfId="169" applyNumberFormat="1" applyFont="1" applyBorder="1" applyAlignment="1" applyProtection="1">
      <alignment vertical="center"/>
    </xf>
    <xf numFmtId="0" fontId="54" fillId="55" borderId="39" xfId="166" applyFont="1" applyFill="1" applyBorder="1" applyAlignment="1" applyProtection="1">
      <alignment horizontal="center" vertical="center"/>
    </xf>
    <xf numFmtId="0" fontId="54" fillId="55" borderId="41" xfId="166"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11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applyFont="1" applyFill="1" applyBorder="1" applyAlignment="1" applyProtection="1">
      <alignment horizontal="left" vertical="center"/>
    </xf>
    <xf numFmtId="0" fontId="3" fillId="0" borderId="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64" fontId="47" fillId="0" borderId="48" xfId="168" applyFont="1" applyFill="1" applyBorder="1" applyAlignment="1" applyProtection="1">
      <alignment horizontal="center" vertical="center"/>
    </xf>
    <xf numFmtId="4" fontId="4" fillId="0" borderId="0" xfId="0" applyNumberFormat="1" applyFont="1" applyFill="1" applyAlignment="1" applyProtection="1">
      <alignment horizontal="left" vertical="center"/>
    </xf>
    <xf numFmtId="0" fontId="3" fillId="0" borderId="99" xfId="0" applyFont="1" applyFill="1" applyBorder="1" applyAlignment="1" applyProtection="1">
      <alignment horizontal="center" vertical="center"/>
    </xf>
    <xf numFmtId="0" fontId="3" fillId="63" borderId="128" xfId="0" applyFont="1" applyFill="1" applyBorder="1"/>
    <xf numFmtId="0" fontId="4" fillId="0" borderId="24" xfId="0" applyFont="1" applyFill="1" applyBorder="1" applyAlignment="1" applyProtection="1">
      <alignment horizontal="center" vertical="center"/>
    </xf>
    <xf numFmtId="0" fontId="4" fillId="0" borderId="11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applyFont="1" applyFill="1" applyBorder="1" applyAlignment="1" applyProtection="1">
      <alignment horizontal="left" vertical="center"/>
    </xf>
    <xf numFmtId="0" fontId="3" fillId="0" borderId="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7" fillId="0" borderId="142" xfId="0" applyNumberFormat="1" applyFont="1" applyFill="1" applyBorder="1" applyAlignment="1" applyProtection="1">
      <alignment horizontal="center" vertical="center" wrapText="1"/>
    </xf>
    <xf numFmtId="0" fontId="3" fillId="0" borderId="143" xfId="0" applyFont="1" applyFill="1" applyBorder="1" applyAlignment="1" applyProtection="1">
      <alignment horizontal="center" vertical="center"/>
    </xf>
    <xf numFmtId="167" fontId="3" fillId="60" borderId="143" xfId="0" applyNumberFormat="1" applyFont="1" applyFill="1" applyBorder="1" applyAlignment="1" applyProtection="1">
      <alignment horizontal="center" vertical="center"/>
    </xf>
    <xf numFmtId="0" fontId="47" fillId="0" borderId="144" xfId="0" applyNumberFormat="1" applyFont="1" applyFill="1" applyBorder="1" applyAlignment="1" applyProtection="1">
      <alignment horizontal="center" vertical="center" wrapText="1"/>
    </xf>
    <xf numFmtId="0" fontId="3" fillId="0" borderId="87" xfId="0" applyFont="1" applyFill="1" applyBorder="1" applyAlignment="1" applyProtection="1">
      <alignment horizontal="left" vertical="center" wrapText="1"/>
    </xf>
    <xf numFmtId="0" fontId="3" fillId="0" borderId="87" xfId="0" applyFont="1" applyFill="1" applyBorder="1" applyAlignment="1" applyProtection="1">
      <alignment horizontal="center" vertical="center"/>
    </xf>
    <xf numFmtId="167" fontId="3" fillId="60" borderId="87" xfId="0" applyNumberFormat="1" applyFont="1" applyFill="1" applyBorder="1" applyAlignment="1" applyProtection="1">
      <alignment horizontal="center" vertical="center"/>
    </xf>
    <xf numFmtId="0" fontId="3" fillId="0" borderId="9" xfId="0" applyFont="1" applyFill="1" applyBorder="1" applyAlignment="1" applyProtection="1">
      <alignment horizontal="left" vertical="center" wrapText="1"/>
    </xf>
    <xf numFmtId="1" fontId="6" fillId="62" borderId="107" xfId="170" applyNumberFormat="1" applyFont="1" applyFill="1" applyBorder="1" applyAlignment="1" applyProtection="1">
      <alignment horizontal="justify" vertical="center" wrapText="1"/>
    </xf>
    <xf numFmtId="0" fontId="6" fillId="65" borderId="107" xfId="170" applyFont="1" applyFill="1" applyBorder="1" applyAlignment="1" applyProtection="1">
      <alignment horizontal="justify" vertical="center" wrapText="1"/>
    </xf>
    <xf numFmtId="1" fontId="6" fillId="56" borderId="107" xfId="170" applyNumberFormat="1" applyFont="1" applyFill="1" applyBorder="1" applyAlignment="1" applyProtection="1">
      <alignment horizontal="justify" vertical="center" wrapText="1"/>
    </xf>
    <xf numFmtId="1" fontId="6" fillId="66" borderId="107" xfId="170" applyNumberFormat="1" applyFont="1" applyFill="1" applyBorder="1" applyAlignment="1" applyProtection="1">
      <alignment horizontal="justify" vertical="center" wrapText="1"/>
    </xf>
    <xf numFmtId="0" fontId="10" fillId="0" borderId="0" xfId="170" applyFont="1" applyFill="1" applyBorder="1" applyAlignment="1" applyProtection="1">
      <alignment vertical="center" wrapText="1"/>
      <protection locked="0"/>
    </xf>
    <xf numFmtId="1" fontId="10" fillId="0" borderId="106" xfId="170" quotePrefix="1" applyNumberFormat="1" applyFont="1" applyFill="1" applyBorder="1" applyAlignment="1" applyProtection="1">
      <alignment horizontal="center" vertical="center" wrapText="1"/>
    </xf>
    <xf numFmtId="0" fontId="10" fillId="0" borderId="107" xfId="0" quotePrefix="1" applyFont="1" applyFill="1" applyBorder="1" applyAlignment="1" applyProtection="1">
      <alignment horizontal="center" vertical="center" wrapText="1"/>
    </xf>
    <xf numFmtId="43" fontId="10" fillId="0" borderId="107" xfId="52" applyNumberFormat="1" applyFont="1" applyFill="1" applyBorder="1" applyAlignment="1" applyProtection="1">
      <alignment horizontal="right" vertical="center" wrapText="1"/>
      <protection locked="0"/>
    </xf>
    <xf numFmtId="43" fontId="10" fillId="0" borderId="107" xfId="52" applyNumberFormat="1" applyFont="1" applyFill="1" applyBorder="1" applyAlignment="1" applyProtection="1">
      <alignment horizontal="center" vertical="center" wrapText="1"/>
      <protection locked="0"/>
    </xf>
    <xf numFmtId="10" fontId="10" fillId="0" borderId="108" xfId="52" applyNumberFormat="1" applyFont="1" applyFill="1" applyBorder="1" applyAlignment="1" applyProtection="1">
      <alignment horizontal="right" vertical="center" wrapText="1"/>
      <protection locked="0"/>
    </xf>
    <xf numFmtId="0" fontId="6" fillId="0" borderId="107" xfId="0" quotePrefix="1" applyFont="1" applyFill="1" applyBorder="1" applyAlignment="1" applyProtection="1">
      <alignment horizontal="justify" vertical="center" wrapText="1"/>
    </xf>
    <xf numFmtId="43" fontId="10" fillId="0" borderId="0" xfId="170" applyNumberFormat="1" applyFont="1" applyFill="1" applyBorder="1" applyAlignment="1" applyProtection="1">
      <alignment vertical="center" wrapText="1"/>
      <protection locked="0"/>
    </xf>
    <xf numFmtId="0" fontId="26" fillId="68" borderId="145" xfId="0" applyFont="1" applyFill="1" applyBorder="1"/>
    <xf numFmtId="0" fontId="26" fillId="68" borderId="146" xfId="0" applyFont="1" applyFill="1" applyBorder="1"/>
    <xf numFmtId="0" fontId="0" fillId="0" borderId="0" xfId="0" applyAlignment="1">
      <alignment vertical="center"/>
    </xf>
    <xf numFmtId="0" fontId="0" fillId="69" borderId="148" xfId="0" applyFill="1" applyBorder="1" applyAlignment="1">
      <alignment horizontal="center" vertical="center"/>
    </xf>
    <xf numFmtId="0" fontId="0" fillId="69" borderId="149" xfId="0" applyFill="1" applyBorder="1" applyAlignment="1">
      <alignment horizontal="center" vertical="center"/>
    </xf>
    <xf numFmtId="0" fontId="4" fillId="0" borderId="150" xfId="0" applyFont="1" applyBorder="1" applyAlignment="1">
      <alignment horizontal="center" vertical="center"/>
    </xf>
    <xf numFmtId="0" fontId="4" fillId="0" borderId="0" xfId="0" applyFont="1" applyAlignment="1">
      <alignment horizontal="center" vertical="center"/>
    </xf>
    <xf numFmtId="0" fontId="0" fillId="62" borderId="118" xfId="0" applyFill="1" applyBorder="1"/>
    <xf numFmtId="0" fontId="0" fillId="62" borderId="119" xfId="0" applyFill="1" applyBorder="1"/>
    <xf numFmtId="0" fontId="4" fillId="69" borderId="152" xfId="0" applyFont="1" applyFill="1" applyBorder="1" applyAlignment="1">
      <alignment horizontal="center" vertical="center"/>
    </xf>
    <xf numFmtId="0" fontId="4" fillId="69" borderId="153" xfId="0" applyFont="1" applyFill="1" applyBorder="1" applyAlignment="1">
      <alignment horizontal="center" vertical="center"/>
    </xf>
    <xf numFmtId="0" fontId="0" fillId="62" borderId="0" xfId="0" applyFill="1"/>
    <xf numFmtId="0" fontId="0" fillId="62" borderId="15" xfId="0" applyFill="1" applyBorder="1"/>
    <xf numFmtId="0" fontId="4" fillId="0" borderId="154" xfId="0" applyFont="1" applyBorder="1" applyAlignment="1">
      <alignment horizontal="center" vertical="center"/>
    </xf>
    <xf numFmtId="0" fontId="0" fillId="0" borderId="155" xfId="0" applyBorder="1" applyAlignment="1">
      <alignment horizontal="center" vertical="center"/>
    </xf>
    <xf numFmtId="0" fontId="4" fillId="0" borderId="155" xfId="0" applyFont="1" applyBorder="1" applyAlignment="1">
      <alignment horizontal="center" vertical="center"/>
    </xf>
    <xf numFmtId="0" fontId="4" fillId="0" borderId="156" xfId="0" applyFont="1" applyBorder="1" applyAlignment="1">
      <alignment horizontal="center" vertical="center"/>
    </xf>
    <xf numFmtId="0" fontId="4" fillId="56" borderId="154" xfId="0" applyFont="1" applyFill="1" applyBorder="1" applyAlignment="1">
      <alignment horizontal="center" vertical="center"/>
    </xf>
    <xf numFmtId="0" fontId="4" fillId="56" borderId="155" xfId="0" applyFont="1" applyFill="1" applyBorder="1" applyAlignment="1">
      <alignment vertical="center"/>
    </xf>
    <xf numFmtId="43" fontId="4" fillId="56" borderId="155" xfId="0" applyNumberFormat="1" applyFont="1" applyFill="1" applyBorder="1" applyAlignment="1">
      <alignment horizontal="right" vertical="center"/>
    </xf>
    <xf numFmtId="43" fontId="4" fillId="56" borderId="156" xfId="0" applyNumberFormat="1" applyFont="1" applyFill="1" applyBorder="1" applyAlignment="1">
      <alignment horizontal="right" vertical="center"/>
    </xf>
    <xf numFmtId="0" fontId="0" fillId="0" borderId="150" xfId="0" applyBorder="1" applyAlignment="1">
      <alignment vertical="center"/>
    </xf>
    <xf numFmtId="4" fontId="4" fillId="0" borderId="0" xfId="0" applyNumberFormat="1" applyFont="1" applyAlignment="1">
      <alignment vertical="center"/>
    </xf>
    <xf numFmtId="0" fontId="0" fillId="0" borderId="154" xfId="0" applyBorder="1" applyAlignment="1">
      <alignment horizontal="center" vertical="center"/>
    </xf>
    <xf numFmtId="0" fontId="0" fillId="0" borderId="155" xfId="0" applyBorder="1" applyAlignment="1">
      <alignment vertical="center"/>
    </xf>
    <xf numFmtId="43" fontId="0" fillId="0" borderId="155" xfId="0" applyNumberFormat="1" applyBorder="1" applyAlignment="1">
      <alignment vertical="center"/>
    </xf>
    <xf numFmtId="43" fontId="0" fillId="0" borderId="156" xfId="0" applyNumberFormat="1" applyBorder="1" applyAlignment="1">
      <alignment vertical="center"/>
    </xf>
    <xf numFmtId="4" fontId="0" fillId="0" borderId="150" xfId="0" applyNumberFormat="1" applyBorder="1" applyAlignment="1">
      <alignment vertical="center"/>
    </xf>
    <xf numFmtId="0" fontId="0" fillId="0" borderId="154" xfId="0" applyBorder="1" applyAlignment="1">
      <alignment horizontal="right" vertical="center"/>
    </xf>
    <xf numFmtId="43" fontId="4" fillId="56" borderId="155" xfId="0" applyNumberFormat="1" applyFont="1" applyFill="1" applyBorder="1" applyAlignment="1">
      <alignment vertical="center"/>
    </xf>
    <xf numFmtId="43" fontId="4" fillId="56" borderId="156" xfId="0" applyNumberFormat="1" applyFont="1" applyFill="1" applyBorder="1" applyAlignment="1">
      <alignment vertical="center"/>
    </xf>
    <xf numFmtId="0" fontId="0" fillId="0" borderId="155" xfId="0" applyBorder="1" applyAlignment="1">
      <alignment horizontal="left" vertical="center"/>
    </xf>
    <xf numFmtId="0" fontId="0" fillId="62" borderId="157" xfId="0" applyFill="1" applyBorder="1"/>
    <xf numFmtId="0" fontId="0" fillId="62" borderId="158" xfId="0" applyFill="1" applyBorder="1"/>
    <xf numFmtId="43" fontId="0" fillId="0" borderId="155" xfId="0" applyNumberFormat="1" applyBorder="1" applyAlignment="1">
      <alignment horizontal="right" vertical="center"/>
    </xf>
    <xf numFmtId="4" fontId="0" fillId="0" borderId="0" xfId="0" applyNumberFormat="1" applyAlignment="1">
      <alignment vertical="center"/>
    </xf>
    <xf numFmtId="43" fontId="0" fillId="56" borderId="155" xfId="0" applyNumberFormat="1" applyFill="1" applyBorder="1" applyAlignment="1">
      <alignment vertical="center"/>
    </xf>
    <xf numFmtId="43" fontId="4" fillId="56" borderId="0" xfId="0" applyNumberFormat="1" applyFont="1" applyFill="1" applyAlignment="1">
      <alignment vertical="center"/>
    </xf>
    <xf numFmtId="2" fontId="0" fillId="0" borderId="155" xfId="0" applyNumberFormat="1" applyBorder="1" applyAlignment="1">
      <alignment vertical="center"/>
    </xf>
    <xf numFmtId="2" fontId="0" fillId="0" borderId="156" xfId="0" applyNumberFormat="1" applyBorder="1" applyAlignment="1">
      <alignment vertical="center"/>
    </xf>
    <xf numFmtId="0" fontId="0" fillId="62" borderId="159" xfId="0" applyFill="1" applyBorder="1" applyAlignment="1">
      <alignment horizontal="right" vertical="center"/>
    </xf>
    <xf numFmtId="0" fontId="4" fillId="62" borderId="160" xfId="0" applyFont="1" applyFill="1" applyBorder="1" applyAlignment="1">
      <alignment vertical="center"/>
    </xf>
    <xf numFmtId="2" fontId="4" fillId="62" borderId="160" xfId="0" applyNumberFormat="1" applyFont="1" applyFill="1" applyBorder="1" applyAlignment="1">
      <alignment vertical="center"/>
    </xf>
    <xf numFmtId="2" fontId="4" fillId="62" borderId="161" xfId="0" applyNumberFormat="1" applyFont="1" applyFill="1" applyBorder="1" applyAlignment="1">
      <alignment vertical="center"/>
    </xf>
    <xf numFmtId="0" fontId="6" fillId="0" borderId="0" xfId="0" applyFont="1" applyAlignment="1">
      <alignment vertical="center"/>
    </xf>
    <xf numFmtId="0" fontId="73" fillId="0" borderId="0" xfId="0" applyFont="1" applyAlignment="1">
      <alignment vertical="center"/>
    </xf>
    <xf numFmtId="1" fontId="70" fillId="62" borderId="100" xfId="170" quotePrefix="1" applyNumberFormat="1" applyFont="1" applyFill="1" applyBorder="1" applyAlignment="1" applyProtection="1">
      <alignment vertical="center" wrapText="1"/>
    </xf>
    <xf numFmtId="1" fontId="70" fillId="62" borderId="101" xfId="170" quotePrefix="1" applyNumberFormat="1" applyFont="1" applyFill="1" applyBorder="1" applyAlignment="1" applyProtection="1">
      <alignment vertical="center" wrapText="1"/>
    </xf>
    <xf numFmtId="10" fontId="70" fillId="62" borderId="100" xfId="170" quotePrefix="1" applyNumberFormat="1" applyFont="1" applyFill="1" applyBorder="1" applyAlignment="1" applyProtection="1">
      <alignment vertical="center" wrapText="1"/>
    </xf>
    <xf numFmtId="43" fontId="3" fillId="65" borderId="0" xfId="170" applyNumberFormat="1" applyFont="1" applyFill="1" applyBorder="1" applyAlignment="1" applyProtection="1">
      <alignment horizontal="center" vertical="center" wrapText="1"/>
      <protection locked="0"/>
    </xf>
    <xf numFmtId="10" fontId="6" fillId="0" borderId="0" xfId="0" applyNumberFormat="1" applyFont="1" applyAlignment="1">
      <alignment horizontal="center" vertical="center"/>
    </xf>
    <xf numFmtId="0" fontId="4" fillId="0" borderId="24" xfId="0" applyFont="1" applyFill="1" applyBorder="1" applyAlignment="1" applyProtection="1">
      <alignment horizontal="center" vertical="center"/>
    </xf>
    <xf numFmtId="0" fontId="4" fillId="0" borderId="11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7" xfId="0" applyFont="1" applyFill="1" applyBorder="1" applyAlignment="1" applyProtection="1">
      <alignment horizontal="left" vertical="center"/>
    </xf>
    <xf numFmtId="0" fontId="3" fillId="0" borderId="9" xfId="0" applyFont="1" applyFill="1" applyBorder="1" applyAlignment="1" applyProtection="1">
      <alignment horizontal="center" vertical="center"/>
    </xf>
    <xf numFmtId="164" fontId="47" fillId="0" borderId="48" xfId="168" applyFont="1" applyFill="1" applyBorder="1" applyAlignment="1" applyProtection="1">
      <alignment horizontal="center" vertical="center"/>
    </xf>
    <xf numFmtId="16" fontId="54" fillId="55" borderId="41" xfId="166" applyNumberFormat="1" applyFont="1" applyFill="1" applyBorder="1" applyAlignment="1" applyProtection="1">
      <alignment horizontal="center" vertical="center"/>
    </xf>
    <xf numFmtId="164" fontId="47" fillId="0" borderId="48" xfId="168" applyFont="1" applyFill="1" applyBorder="1" applyAlignment="1" applyProtection="1">
      <alignment horizontal="center" vertical="center"/>
    </xf>
    <xf numFmtId="0" fontId="3" fillId="0" borderId="0" xfId="0" applyFont="1" applyFill="1" applyBorder="1"/>
    <xf numFmtId="43" fontId="70" fillId="62" borderId="165" xfId="52" applyNumberFormat="1" applyFont="1" applyFill="1" applyBorder="1" applyAlignment="1" applyProtection="1">
      <alignment horizontal="center" vertical="center" wrapText="1"/>
      <protection locked="0"/>
    </xf>
    <xf numFmtId="10" fontId="71" fillId="62" borderId="166" xfId="52" applyNumberFormat="1" applyFont="1" applyFill="1" applyBorder="1" applyAlignment="1" applyProtection="1">
      <alignment horizontal="right" vertical="center" wrapText="1"/>
      <protection locked="0"/>
    </xf>
    <xf numFmtId="4" fontId="3" fillId="70" borderId="0" xfId="0" applyNumberFormat="1" applyFont="1" applyFill="1"/>
    <xf numFmtId="0" fontId="3" fillId="70" borderId="0" xfId="0" applyFont="1" applyFill="1"/>
    <xf numFmtId="49" fontId="10" fillId="65" borderId="107" xfId="0" quotePrefix="1" applyNumberFormat="1" applyFont="1" applyFill="1" applyBorder="1" applyAlignment="1" applyProtection="1">
      <alignment horizontal="center" vertical="center" wrapText="1"/>
    </xf>
    <xf numFmtId="165" fontId="3" fillId="63" borderId="109" xfId="0" applyNumberFormat="1" applyFont="1" applyFill="1" applyBorder="1"/>
    <xf numFmtId="49" fontId="3" fillId="0" borderId="0" xfId="0" applyNumberFormat="1" applyFont="1" applyFill="1"/>
    <xf numFmtId="0" fontId="3" fillId="0" borderId="0" xfId="0" applyFont="1" applyFill="1" applyBorder="1" applyAlignment="1">
      <alignment wrapText="1"/>
    </xf>
    <xf numFmtId="3" fontId="10" fillId="0" borderId="107" xfId="0" quotePrefix="1" applyNumberFormat="1" applyFont="1" applyFill="1" applyBorder="1" applyAlignment="1" applyProtection="1">
      <alignment horizontal="center" vertical="center" wrapText="1"/>
    </xf>
    <xf numFmtId="0" fontId="66" fillId="0" borderId="0" xfId="0" applyFont="1" applyFill="1" applyAlignment="1">
      <alignment horizontal="left"/>
    </xf>
    <xf numFmtId="0" fontId="66" fillId="0" borderId="0" xfId="0" applyFont="1" applyFill="1" applyAlignment="1">
      <alignment horizontal="center"/>
    </xf>
    <xf numFmtId="4" fontId="66" fillId="0" borderId="0" xfId="0" applyNumberFormat="1" applyFont="1" applyFill="1" applyAlignment="1">
      <alignment horizontal="right"/>
    </xf>
    <xf numFmtId="0" fontId="3" fillId="0" borderId="0" xfId="0" applyFont="1" applyFill="1"/>
    <xf numFmtId="0" fontId="3" fillId="0" borderId="0" xfId="0" applyFont="1" applyFill="1" applyAlignment="1">
      <alignment horizontal="left"/>
    </xf>
    <xf numFmtId="0" fontId="3" fillId="0" borderId="0" xfId="0" applyFont="1" applyFill="1" applyAlignment="1">
      <alignment wrapText="1"/>
    </xf>
    <xf numFmtId="49" fontId="10" fillId="0" borderId="107" xfId="0" quotePrefix="1" applyNumberFormat="1" applyFont="1" applyFill="1" applyBorder="1" applyAlignment="1" applyProtection="1">
      <alignment horizontal="center" vertical="center" wrapText="1"/>
    </xf>
    <xf numFmtId="1" fontId="10" fillId="65" borderId="168" xfId="170" quotePrefix="1" applyNumberFormat="1" applyFont="1" applyFill="1" applyBorder="1" applyAlignment="1" applyProtection="1">
      <alignment horizontal="center" vertical="center" wrapText="1"/>
    </xf>
    <xf numFmtId="1" fontId="10" fillId="65" borderId="157" xfId="170" quotePrefix="1" applyNumberFormat="1" applyFont="1" applyFill="1" applyBorder="1" applyAlignment="1" applyProtection="1">
      <alignment horizontal="center" vertical="center" wrapText="1"/>
    </xf>
    <xf numFmtId="1" fontId="10" fillId="65" borderId="158" xfId="170" quotePrefix="1" applyNumberFormat="1" applyFont="1" applyFill="1" applyBorder="1" applyAlignment="1" applyProtection="1">
      <alignment horizontal="center" vertical="center" wrapText="1"/>
    </xf>
    <xf numFmtId="1" fontId="70" fillId="62" borderId="123" xfId="170" quotePrefix="1" applyNumberFormat="1" applyFont="1" applyFill="1" applyBorder="1" applyAlignment="1" applyProtection="1">
      <alignment horizontal="center" vertical="center" wrapText="1"/>
    </xf>
    <xf numFmtId="1" fontId="70" fillId="62" borderId="100" xfId="170" quotePrefix="1" applyNumberFormat="1" applyFont="1" applyFill="1" applyBorder="1" applyAlignment="1" applyProtection="1">
      <alignment horizontal="center" vertical="center" wrapText="1"/>
    </xf>
    <xf numFmtId="1" fontId="70" fillId="62" borderId="101" xfId="170" quotePrefix="1" applyNumberFormat="1" applyFont="1" applyFill="1" applyBorder="1" applyAlignment="1" applyProtection="1">
      <alignment horizontal="center" vertical="center" wrapText="1"/>
    </xf>
    <xf numFmtId="1" fontId="70" fillId="62" borderId="162" xfId="170" quotePrefix="1" applyNumberFormat="1" applyFont="1" applyFill="1" applyBorder="1" applyAlignment="1" applyProtection="1">
      <alignment horizontal="center" vertical="center" wrapText="1"/>
    </xf>
    <xf numFmtId="1" fontId="70" fillId="62" borderId="163" xfId="170" quotePrefix="1" applyNumberFormat="1" applyFont="1" applyFill="1" applyBorder="1" applyAlignment="1" applyProtection="1">
      <alignment horizontal="center" vertical="center" wrapText="1"/>
    </xf>
    <xf numFmtId="1" fontId="70" fillId="62" borderId="164" xfId="170" quotePrefix="1" applyNumberFormat="1" applyFont="1" applyFill="1" applyBorder="1" applyAlignment="1" applyProtection="1">
      <alignment horizontal="center" vertical="center" wrapText="1"/>
    </xf>
    <xf numFmtId="0" fontId="6" fillId="0" borderId="93" xfId="102" applyFont="1" applyFill="1" applyBorder="1" applyAlignment="1">
      <alignment horizontal="center" vertical="center"/>
    </xf>
    <xf numFmtId="0" fontId="6" fillId="0" borderId="94" xfId="102" applyFont="1" applyFill="1" applyBorder="1" applyAlignment="1">
      <alignment horizontal="center" vertical="center"/>
    </xf>
    <xf numFmtId="0" fontId="6" fillId="0" borderId="95" xfId="102" applyFont="1" applyFill="1" applyBorder="1" applyAlignment="1">
      <alignment horizontal="center" vertical="center"/>
    </xf>
    <xf numFmtId="0" fontId="43" fillId="0" borderId="117" xfId="102" applyFont="1" applyFill="1" applyBorder="1" applyAlignment="1">
      <alignment horizontal="center" vertical="center"/>
    </xf>
    <xf numFmtId="0" fontId="43" fillId="0" borderId="118" xfId="102" applyFont="1" applyFill="1" applyBorder="1" applyAlignment="1">
      <alignment horizontal="center" vertical="center"/>
    </xf>
    <xf numFmtId="0" fontId="43" fillId="0" borderId="119" xfId="102" applyFont="1" applyFill="1" applyBorder="1" applyAlignment="1">
      <alignment horizontal="center" vertical="center"/>
    </xf>
    <xf numFmtId="0" fontId="43" fillId="0" borderId="91" xfId="102" applyFont="1" applyFill="1" applyBorder="1" applyAlignment="1">
      <alignment horizontal="center" vertical="center"/>
    </xf>
    <xf numFmtId="0" fontId="43" fillId="0" borderId="0" xfId="102" applyFont="1" applyFill="1" applyBorder="1" applyAlignment="1">
      <alignment horizontal="center" vertical="center"/>
    </xf>
    <xf numFmtId="0" fontId="43" fillId="0" borderId="15" xfId="102" applyFont="1" applyFill="1" applyBorder="1" applyAlignment="1">
      <alignment horizontal="center" vertical="center"/>
    </xf>
    <xf numFmtId="1" fontId="70" fillId="62" borderId="123" xfId="170" quotePrefix="1" applyNumberFormat="1" applyFont="1" applyFill="1" applyBorder="1" applyAlignment="1" applyProtection="1">
      <alignment horizontal="right" vertical="center" wrapText="1"/>
    </xf>
    <xf numFmtId="1" fontId="70" fillId="62" borderId="100" xfId="170" quotePrefix="1" applyNumberFormat="1" applyFont="1" applyFill="1" applyBorder="1" applyAlignment="1" applyProtection="1">
      <alignment horizontal="right" vertical="center" wrapText="1"/>
    </xf>
    <xf numFmtId="1" fontId="10" fillId="65" borderId="167" xfId="170" quotePrefix="1" applyNumberFormat="1" applyFont="1" applyFill="1" applyBorder="1" applyAlignment="1" applyProtection="1">
      <alignment horizontal="center" vertical="center" wrapText="1"/>
    </xf>
    <xf numFmtId="1" fontId="10" fillId="65" borderId="0" xfId="170" quotePrefix="1" applyNumberFormat="1" applyFont="1" applyFill="1" applyBorder="1" applyAlignment="1" applyProtection="1">
      <alignment horizontal="center" vertical="center" wrapText="1"/>
    </xf>
    <xf numFmtId="1" fontId="10" fillId="65" borderId="15" xfId="170" quotePrefix="1" applyNumberFormat="1" applyFont="1" applyFill="1" applyBorder="1" applyAlignment="1" applyProtection="1">
      <alignment horizontal="center" vertical="center" wrapText="1"/>
    </xf>
    <xf numFmtId="1" fontId="10" fillId="65" borderId="167" xfId="170" quotePrefix="1" applyNumberFormat="1" applyFont="1" applyFill="1" applyBorder="1" applyAlignment="1" applyProtection="1">
      <alignment horizontal="left" vertical="center" wrapText="1"/>
    </xf>
    <xf numFmtId="1" fontId="10" fillId="65" borderId="0" xfId="170" quotePrefix="1" applyNumberFormat="1" applyFont="1" applyFill="1" applyBorder="1" applyAlignment="1" applyProtection="1">
      <alignment horizontal="left" vertical="center" wrapText="1"/>
    </xf>
    <xf numFmtId="1" fontId="10" fillId="65" borderId="15" xfId="170" quotePrefix="1" applyNumberFormat="1" applyFont="1" applyFill="1" applyBorder="1" applyAlignment="1" applyProtection="1">
      <alignment horizontal="left" vertical="center" wrapText="1"/>
    </xf>
    <xf numFmtId="0" fontId="4" fillId="64" borderId="0" xfId="0" applyFont="1" applyFill="1" applyAlignment="1">
      <alignment horizontal="left"/>
    </xf>
    <xf numFmtId="0" fontId="67" fillId="64" borderId="0" xfId="0" applyFont="1" applyFill="1" applyAlignment="1">
      <alignment horizontal="left" wrapText="1"/>
    </xf>
    <xf numFmtId="0" fontId="66" fillId="63" borderId="114" xfId="0" applyFont="1" applyFill="1" applyBorder="1" applyAlignment="1">
      <alignment horizontal="center"/>
    </xf>
    <xf numFmtId="0" fontId="66" fillId="63" borderId="115" xfId="0" applyFont="1" applyFill="1" applyBorder="1" applyAlignment="1">
      <alignment horizontal="center"/>
    </xf>
    <xf numFmtId="0" fontId="66" fillId="63" borderId="116" xfId="0" applyFont="1" applyFill="1" applyBorder="1" applyAlignment="1">
      <alignment horizontal="center"/>
    </xf>
    <xf numFmtId="164" fontId="3" fillId="0" borderId="110" xfId="52" applyFont="1" applyFill="1" applyBorder="1" applyAlignment="1" applyProtection="1">
      <alignment horizontal="center" vertical="center"/>
    </xf>
    <xf numFmtId="164" fontId="3" fillId="0" borderId="111" xfId="52" applyFont="1" applyFill="1" applyBorder="1" applyAlignment="1" applyProtection="1">
      <alignment horizontal="center" vertical="center"/>
    </xf>
    <xf numFmtId="164" fontId="3" fillId="0" borderId="87" xfId="52" applyNumberFormat="1" applyFont="1" applyFill="1" applyBorder="1" applyAlignment="1" applyProtection="1">
      <alignment horizontal="right" vertical="center"/>
    </xf>
    <xf numFmtId="164" fontId="3" fillId="0" borderId="88" xfId="52" applyNumberFormat="1" applyFont="1" applyFill="1" applyBorder="1" applyAlignment="1" applyProtection="1">
      <alignment horizontal="right" vertical="center"/>
    </xf>
    <xf numFmtId="164" fontId="3" fillId="0" borderId="99" xfId="52" applyFont="1" applyFill="1" applyBorder="1" applyAlignment="1" applyProtection="1">
      <alignment horizontal="center" vertical="center"/>
    </xf>
    <xf numFmtId="164" fontId="3" fillId="0" borderId="98" xfId="52" applyFont="1" applyFill="1" applyBorder="1" applyAlignment="1" applyProtection="1">
      <alignment horizontal="center" vertical="center"/>
    </xf>
    <xf numFmtId="164" fontId="3" fillId="0" borderId="0" xfId="52" applyNumberFormat="1" applyFont="1" applyFill="1" applyBorder="1" applyAlignment="1" applyProtection="1">
      <alignment horizontal="right" vertical="center"/>
    </xf>
    <xf numFmtId="164" fontId="3" fillId="0" borderId="15" xfId="52" applyNumberFormat="1" applyFont="1" applyFill="1" applyBorder="1" applyAlignment="1" applyProtection="1">
      <alignment horizontal="right" vertical="center"/>
    </xf>
    <xf numFmtId="164" fontId="3" fillId="0" borderId="11" xfId="52" applyFont="1" applyFill="1" applyBorder="1" applyAlignment="1" applyProtection="1">
      <alignment horizontal="center" vertical="center"/>
    </xf>
    <xf numFmtId="164" fontId="3" fillId="0" borderId="10" xfId="52" applyFont="1" applyFill="1" applyBorder="1" applyAlignment="1" applyProtection="1">
      <alignment horizontal="center" vertical="center"/>
    </xf>
    <xf numFmtId="164" fontId="3" fillId="0" borderId="28" xfId="52"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11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4" fontId="4" fillId="0" borderId="115" xfId="0" applyNumberFormat="1" applyFont="1" applyFill="1" applyBorder="1" applyAlignment="1" applyProtection="1">
      <alignment horizontal="right" vertical="center"/>
    </xf>
    <xf numFmtId="4" fontId="4" fillId="0" borderId="121" xfId="0" applyNumberFormat="1" applyFont="1" applyFill="1" applyBorder="1" applyAlignment="1" applyProtection="1">
      <alignment horizontal="right" vertical="center"/>
    </xf>
    <xf numFmtId="4" fontId="4" fillId="0" borderId="9" xfId="0" applyNumberFormat="1" applyFont="1" applyFill="1" applyBorder="1" applyAlignment="1" applyProtection="1">
      <alignment horizontal="right" vertical="center"/>
    </xf>
    <xf numFmtId="4" fontId="4" fillId="0" borderId="28" xfId="0" applyNumberFormat="1" applyFont="1" applyFill="1" applyBorder="1" applyAlignment="1" applyProtection="1">
      <alignment horizontal="right" vertical="center"/>
    </xf>
    <xf numFmtId="4" fontId="4" fillId="0" borderId="7" xfId="0" applyNumberFormat="1" applyFont="1" applyFill="1" applyBorder="1" applyAlignment="1" applyProtection="1">
      <alignment horizontal="right" vertical="center"/>
    </xf>
    <xf numFmtId="4" fontId="4" fillId="0" borderId="85" xfId="0" applyNumberFormat="1" applyFont="1" applyFill="1" applyBorder="1" applyAlignment="1" applyProtection="1">
      <alignment horizontal="right" vertical="center"/>
    </xf>
    <xf numFmtId="4" fontId="4" fillId="0" borderId="86" xfId="0" applyNumberFormat="1" applyFont="1" applyFill="1" applyBorder="1" applyAlignment="1" applyProtection="1">
      <alignment horizontal="right" vertical="center"/>
    </xf>
    <xf numFmtId="4" fontId="4" fillId="0" borderId="14" xfId="0" applyNumberFormat="1" applyFont="1" applyFill="1" applyBorder="1" applyAlignment="1" applyProtection="1">
      <alignment horizontal="right" vertical="center"/>
    </xf>
    <xf numFmtId="0" fontId="4" fillId="60" borderId="26" xfId="0" applyFont="1" applyFill="1" applyBorder="1" applyAlignment="1" applyProtection="1">
      <alignment horizontal="center" vertical="center" wrapText="1" shrinkToFit="1"/>
    </xf>
    <xf numFmtId="0" fontId="4" fillId="60" borderId="87" xfId="0" applyFont="1" applyFill="1" applyBorder="1" applyAlignment="1" applyProtection="1">
      <alignment horizontal="center" vertical="center" wrapText="1" shrinkToFit="1"/>
    </xf>
    <xf numFmtId="0" fontId="4" fillId="60" borderId="29" xfId="0" applyFont="1" applyFill="1" applyBorder="1" applyAlignment="1" applyProtection="1">
      <alignment horizontal="center" vertical="center" wrapText="1" shrinkToFit="1"/>
    </xf>
    <xf numFmtId="0" fontId="4" fillId="60" borderId="93" xfId="0" applyFont="1" applyFill="1" applyBorder="1" applyAlignment="1" applyProtection="1">
      <alignment horizontal="center" vertical="center" wrapText="1" shrinkToFit="1"/>
    </xf>
    <xf numFmtId="0" fontId="4" fillId="60" borderId="94" xfId="0" applyFont="1" applyFill="1" applyBorder="1" applyAlignment="1" applyProtection="1">
      <alignment horizontal="center" vertical="center" wrapText="1" shrinkToFit="1"/>
    </xf>
    <xf numFmtId="0" fontId="4" fillId="60" borderId="95" xfId="0" applyFont="1" applyFill="1" applyBorder="1" applyAlignment="1" applyProtection="1">
      <alignment horizontal="center" vertical="center" wrapText="1" shrinkToFit="1"/>
    </xf>
    <xf numFmtId="0" fontId="3" fillId="0" borderId="11"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right" vertical="center"/>
    </xf>
    <xf numFmtId="0" fontId="3" fillId="0" borderId="28" xfId="0" applyFont="1" applyFill="1" applyBorder="1" applyAlignment="1" applyProtection="1">
      <alignment horizontal="right" vertical="center"/>
    </xf>
    <xf numFmtId="0" fontId="4" fillId="0" borderId="7" xfId="0" applyFont="1" applyFill="1" applyBorder="1" applyAlignment="1" applyProtection="1">
      <alignment horizontal="left" vertical="center"/>
    </xf>
    <xf numFmtId="0" fontId="4" fillId="0" borderId="85" xfId="0" applyFont="1" applyFill="1" applyBorder="1" applyAlignment="1" applyProtection="1">
      <alignment horizontal="left" vertical="center"/>
    </xf>
    <xf numFmtId="0" fontId="3" fillId="0" borderId="8" xfId="0" applyFont="1" applyFill="1" applyBorder="1" applyAlignment="1" applyProtection="1">
      <alignment horizontal="center" vertical="center" wrapText="1" shrinkToFit="1"/>
    </xf>
    <xf numFmtId="0" fontId="3" fillId="0" borderId="14" xfId="0" applyFont="1" applyFill="1" applyBorder="1" applyAlignment="1" applyProtection="1">
      <alignment horizontal="center" vertical="center" wrapText="1" shrinkToFit="1"/>
    </xf>
    <xf numFmtId="0" fontId="3" fillId="0" borderId="9"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24" xfId="0" applyFont="1" applyFill="1" applyBorder="1" applyAlignment="1" applyProtection="1">
      <alignment horizontal="left" vertical="center"/>
    </xf>
    <xf numFmtId="0" fontId="3" fillId="0" borderId="115"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164" fontId="3" fillId="0" borderId="86" xfId="52" applyFont="1" applyFill="1" applyBorder="1" applyAlignment="1" applyProtection="1">
      <alignment horizontal="right" vertical="center"/>
    </xf>
    <xf numFmtId="164" fontId="3" fillId="0" borderId="14" xfId="52" applyFont="1" applyFill="1" applyBorder="1" applyAlignment="1" applyProtection="1">
      <alignment horizontal="right" vertical="center"/>
    </xf>
    <xf numFmtId="164" fontId="3" fillId="0" borderId="86" xfId="52" applyNumberFormat="1" applyFont="1" applyFill="1" applyBorder="1" applyAlignment="1" applyProtection="1">
      <alignment horizontal="right" vertical="center"/>
    </xf>
    <xf numFmtId="164" fontId="3" fillId="0" borderId="14" xfId="52" applyNumberFormat="1" applyFont="1" applyFill="1" applyBorder="1" applyAlignment="1" applyProtection="1">
      <alignment horizontal="right" vertical="center"/>
    </xf>
    <xf numFmtId="164" fontId="4" fillId="0" borderId="86" xfId="52" applyFont="1" applyFill="1" applyBorder="1" applyAlignment="1" applyProtection="1">
      <alignment horizontal="right" vertical="center"/>
    </xf>
    <xf numFmtId="164" fontId="4" fillId="0" borderId="14" xfId="52" applyFont="1" applyFill="1" applyBorder="1" applyAlignment="1" applyProtection="1">
      <alignment horizontal="right" vertical="center"/>
    </xf>
    <xf numFmtId="0" fontId="4" fillId="0" borderId="9" xfId="0" applyFont="1" applyFill="1" applyBorder="1" applyAlignment="1" applyProtection="1">
      <alignment horizontal="left" vertical="center"/>
    </xf>
    <xf numFmtId="0" fontId="4" fillId="0" borderId="90" xfId="0" applyFont="1" applyFill="1" applyBorder="1" applyAlignment="1" applyProtection="1">
      <alignment horizontal="center" vertical="center"/>
    </xf>
    <xf numFmtId="0" fontId="4" fillId="0" borderId="96"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10" fontId="4" fillId="60" borderId="115" xfId="0" applyNumberFormat="1" applyFont="1" applyFill="1" applyBorder="1" applyAlignment="1" applyProtection="1">
      <alignment horizontal="center" vertical="center" wrapText="1" shrinkToFit="1"/>
    </xf>
    <xf numFmtId="0" fontId="4" fillId="0" borderId="115" xfId="0" applyFont="1" applyFill="1" applyBorder="1" applyAlignment="1" applyProtection="1">
      <alignment horizontal="left" vertical="center" wrapText="1" shrinkToFit="1"/>
    </xf>
    <xf numFmtId="0" fontId="4" fillId="0" borderId="87" xfId="0" applyFont="1" applyFill="1" applyBorder="1" applyAlignment="1" applyProtection="1">
      <alignment horizontal="left" vertical="center" wrapText="1" shrinkToFit="1"/>
    </xf>
    <xf numFmtId="0" fontId="4" fillId="60" borderId="115" xfId="0" applyFont="1" applyFill="1" applyBorder="1" applyAlignment="1" applyProtection="1">
      <alignment horizontal="left" vertical="center"/>
    </xf>
    <xf numFmtId="0" fontId="4" fillId="60" borderId="116" xfId="0" applyFont="1" applyFill="1" applyBorder="1" applyAlignment="1" applyProtection="1">
      <alignment horizontal="left" vertical="center"/>
    </xf>
    <xf numFmtId="0" fontId="4" fillId="0" borderId="86"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0" borderId="112" xfId="0" applyFont="1" applyFill="1" applyBorder="1" applyAlignment="1" applyProtection="1">
      <alignment horizontal="left" vertical="center"/>
    </xf>
    <xf numFmtId="0" fontId="4" fillId="0" borderId="84" xfId="0" applyFont="1" applyFill="1" applyBorder="1" applyAlignment="1" applyProtection="1">
      <alignment horizontal="center" vertical="center" wrapText="1" shrinkToFit="1"/>
    </xf>
    <xf numFmtId="0" fontId="4" fillId="0" borderId="86" xfId="0" applyFont="1" applyFill="1" applyBorder="1" applyAlignment="1" applyProtection="1">
      <alignment horizontal="center" vertical="center" wrapText="1" shrinkToFit="1"/>
    </xf>
    <xf numFmtId="0" fontId="4" fillId="0" borderId="115" xfId="0" applyFont="1" applyFill="1" applyBorder="1" applyAlignment="1" applyProtection="1">
      <alignment horizontal="center" vertical="center" wrapText="1" shrinkToFit="1"/>
    </xf>
    <xf numFmtId="164" fontId="3" fillId="0" borderId="87" xfId="52" applyFont="1" applyFill="1" applyBorder="1" applyAlignment="1" applyProtection="1">
      <alignment horizontal="center" vertical="center"/>
    </xf>
    <xf numFmtId="0" fontId="3" fillId="0" borderId="9" xfId="0" applyFont="1" applyFill="1" applyBorder="1" applyAlignment="1" applyProtection="1">
      <alignment horizontal="right" vertical="center"/>
    </xf>
    <xf numFmtId="0" fontId="49" fillId="0" borderId="75" xfId="166" applyFont="1" applyBorder="1" applyAlignment="1" applyProtection="1">
      <alignment horizontal="left" vertical="center" wrapText="1"/>
    </xf>
    <xf numFmtId="0" fontId="49" fillId="0" borderId="76" xfId="166" applyFont="1" applyBorder="1" applyAlignment="1" applyProtection="1">
      <alignment horizontal="left" vertical="center" wrapText="1"/>
    </xf>
    <xf numFmtId="0" fontId="49" fillId="0" borderId="77" xfId="166" applyFont="1" applyBorder="1" applyAlignment="1" applyProtection="1">
      <alignment horizontal="left" vertical="center" wrapText="1"/>
    </xf>
    <xf numFmtId="0" fontId="72" fillId="0" borderId="80" xfId="166" applyFont="1" applyBorder="1" applyAlignment="1" applyProtection="1">
      <alignment horizontal="left" vertical="center"/>
    </xf>
    <xf numFmtId="0" fontId="49" fillId="0" borderId="81" xfId="166" applyFont="1" applyBorder="1" applyAlignment="1" applyProtection="1">
      <alignment horizontal="left" vertical="center"/>
    </xf>
    <xf numFmtId="0" fontId="49" fillId="0" borderId="82" xfId="166" applyFont="1" applyBorder="1" applyAlignment="1" applyProtection="1">
      <alignment horizontal="left" vertical="center"/>
    </xf>
    <xf numFmtId="164" fontId="47" fillId="0" borderId="45" xfId="168" applyFont="1" applyFill="1" applyBorder="1" applyAlignment="1" applyProtection="1">
      <alignment horizontal="center" vertical="center"/>
    </xf>
    <xf numFmtId="164" fontId="47" fillId="0" borderId="47" xfId="168" applyFont="1" applyFill="1" applyBorder="1" applyAlignment="1" applyProtection="1">
      <alignment horizontal="center" vertical="center"/>
    </xf>
    <xf numFmtId="164" fontId="48" fillId="0" borderId="136" xfId="168" applyFont="1" applyFill="1" applyBorder="1" applyAlignment="1" applyProtection="1">
      <alignment horizontal="center" vertical="center"/>
    </xf>
    <xf numFmtId="164" fontId="48" fillId="0" borderId="137" xfId="168" applyFont="1" applyFill="1" applyBorder="1" applyAlignment="1" applyProtection="1">
      <alignment horizontal="center" vertical="center"/>
    </xf>
    <xf numFmtId="0" fontId="65" fillId="58" borderId="64" xfId="166" applyFont="1" applyFill="1" applyBorder="1" applyAlignment="1" applyProtection="1">
      <alignment horizontal="left" vertical="center" wrapText="1"/>
    </xf>
    <xf numFmtId="0" fontId="65" fillId="58" borderId="65" xfId="166" applyFont="1" applyFill="1" applyBorder="1" applyAlignment="1" applyProtection="1">
      <alignment horizontal="left" vertical="center" wrapText="1"/>
    </xf>
    <xf numFmtId="0" fontId="65" fillId="58" borderId="66" xfId="166" applyFont="1" applyFill="1" applyBorder="1" applyAlignment="1" applyProtection="1">
      <alignment horizontal="left" vertical="center" wrapText="1"/>
    </xf>
    <xf numFmtId="0" fontId="49" fillId="0" borderId="70" xfId="166" applyFont="1" applyFill="1" applyBorder="1" applyAlignment="1" applyProtection="1">
      <alignment horizontal="left" vertical="center" wrapText="1"/>
    </xf>
    <xf numFmtId="0" fontId="49" fillId="0" borderId="71" xfId="166" applyFont="1" applyFill="1" applyBorder="1" applyAlignment="1" applyProtection="1">
      <alignment horizontal="left" vertical="center" wrapText="1"/>
    </xf>
    <xf numFmtId="0" fontId="49" fillId="0" borderId="72" xfId="166" applyFont="1" applyFill="1" applyBorder="1" applyAlignment="1" applyProtection="1">
      <alignment horizontal="left" vertical="center" wrapText="1"/>
    </xf>
    <xf numFmtId="164" fontId="47" fillId="0" borderId="44" xfId="168" applyFont="1" applyFill="1" applyBorder="1" applyAlignment="1" applyProtection="1">
      <alignment horizontal="center" vertical="center" wrapText="1"/>
    </xf>
    <xf numFmtId="164" fontId="47" fillId="0" borderId="50" xfId="168" applyFont="1" applyFill="1" applyBorder="1" applyAlignment="1" applyProtection="1">
      <alignment horizontal="center" vertical="center" wrapText="1"/>
    </xf>
    <xf numFmtId="164" fontId="47" fillId="0" borderId="57" xfId="168" applyFont="1" applyFill="1" applyBorder="1" applyAlignment="1" applyProtection="1">
      <alignment horizontal="center" vertical="center" wrapText="1"/>
    </xf>
    <xf numFmtId="164" fontId="47" fillId="0" borderId="46" xfId="168" applyFont="1" applyFill="1" applyBorder="1" applyAlignment="1" applyProtection="1">
      <alignment horizontal="center" vertical="center"/>
    </xf>
    <xf numFmtId="164" fontId="47" fillId="0" borderId="51" xfId="168" applyFont="1" applyFill="1" applyBorder="1" applyAlignment="1" applyProtection="1">
      <alignment horizontal="center" vertical="center"/>
    </xf>
    <xf numFmtId="164" fontId="47" fillId="0" borderId="0" xfId="168" applyFont="1" applyFill="1" applyBorder="1" applyAlignment="1" applyProtection="1">
      <alignment horizontal="center" vertical="center"/>
    </xf>
    <xf numFmtId="164" fontId="47" fillId="0" borderId="52" xfId="168" applyFont="1" applyFill="1" applyBorder="1" applyAlignment="1" applyProtection="1">
      <alignment horizontal="center" vertical="center"/>
    </xf>
    <xf numFmtId="164" fontId="47" fillId="0" borderId="58" xfId="168" applyFont="1" applyFill="1" applyBorder="1" applyAlignment="1" applyProtection="1">
      <alignment horizontal="center" vertical="center"/>
    </xf>
    <xf numFmtId="164" fontId="47" fillId="0" borderId="59" xfId="168" applyFont="1" applyFill="1" applyBorder="1" applyAlignment="1" applyProtection="1">
      <alignment horizontal="center" vertical="center"/>
    </xf>
    <xf numFmtId="164" fontId="47" fillId="0" borderId="60" xfId="168" applyFont="1" applyFill="1" applyBorder="1" applyAlignment="1" applyProtection="1">
      <alignment horizontal="center" vertical="center"/>
    </xf>
    <xf numFmtId="164" fontId="47" fillId="0" borderId="48" xfId="168" applyFont="1" applyFill="1" applyBorder="1" applyAlignment="1" applyProtection="1">
      <alignment horizontal="center" vertical="center"/>
    </xf>
    <xf numFmtId="164" fontId="47" fillId="0" borderId="53" xfId="168" applyFont="1" applyFill="1" applyBorder="1" applyAlignment="1" applyProtection="1">
      <alignment horizontal="center" vertical="center"/>
    </xf>
    <xf numFmtId="164" fontId="47" fillId="0" borderId="61" xfId="168" applyFont="1" applyFill="1" applyBorder="1" applyAlignment="1" applyProtection="1">
      <alignment horizontal="center" vertical="center"/>
    </xf>
    <xf numFmtId="164" fontId="47" fillId="0" borderId="48" xfId="168" quotePrefix="1" applyFont="1" applyFill="1" applyBorder="1" applyAlignment="1" applyProtection="1">
      <alignment horizontal="center" vertical="center"/>
    </xf>
    <xf numFmtId="164" fontId="47" fillId="0" borderId="53" xfId="168" quotePrefix="1" applyFont="1" applyFill="1" applyBorder="1" applyAlignment="1" applyProtection="1">
      <alignment horizontal="center" vertical="center"/>
    </xf>
    <xf numFmtId="164" fontId="47" fillId="0" borderId="61" xfId="168" quotePrefix="1" applyFont="1" applyFill="1" applyBorder="1" applyAlignment="1" applyProtection="1">
      <alignment horizontal="center" vertical="center"/>
    </xf>
    <xf numFmtId="164" fontId="47" fillId="0" borderId="49" xfId="168" applyFont="1" applyFill="1" applyBorder="1" applyAlignment="1" applyProtection="1">
      <alignment horizontal="center" vertical="center" wrapText="1"/>
    </xf>
    <xf numFmtId="164" fontId="47" fillId="0" borderId="55" xfId="168" applyFont="1" applyFill="1" applyBorder="1" applyAlignment="1" applyProtection="1">
      <alignment horizontal="center" vertical="center" wrapText="1"/>
    </xf>
    <xf numFmtId="164" fontId="47" fillId="0" borderId="62" xfId="168" applyFont="1" applyFill="1" applyBorder="1" applyAlignment="1" applyProtection="1">
      <alignment horizontal="center" vertical="center" wrapText="1"/>
    </xf>
    <xf numFmtId="164" fontId="47" fillId="0" borderId="56" xfId="168" applyFont="1" applyFill="1" applyBorder="1" applyAlignment="1" applyProtection="1">
      <alignment horizontal="center" vertical="center" wrapText="1"/>
    </xf>
    <xf numFmtId="164" fontId="47" fillId="0" borderId="61" xfId="168" applyFont="1" applyFill="1" applyBorder="1" applyAlignment="1" applyProtection="1">
      <alignment horizontal="center" vertical="center" wrapText="1"/>
    </xf>
    <xf numFmtId="0" fontId="60" fillId="23" borderId="41" xfId="166" applyFont="1" applyFill="1" applyBorder="1" applyAlignment="1" applyProtection="1">
      <alignment horizontal="left" vertical="center"/>
    </xf>
    <xf numFmtId="0" fontId="60" fillId="23" borderId="42" xfId="166" applyFont="1" applyFill="1" applyBorder="1" applyAlignment="1" applyProtection="1">
      <alignment horizontal="left" vertical="center"/>
    </xf>
    <xf numFmtId="0" fontId="60" fillId="23" borderId="43" xfId="166" applyFont="1" applyFill="1" applyBorder="1" applyAlignment="1" applyProtection="1">
      <alignment horizontal="left" vertical="center"/>
    </xf>
    <xf numFmtId="0" fontId="63" fillId="57" borderId="41" xfId="166" applyFont="1" applyFill="1" applyBorder="1" applyAlignment="1" applyProtection="1">
      <alignment horizontal="left" vertical="center"/>
    </xf>
    <xf numFmtId="0" fontId="63" fillId="57" borderId="43" xfId="166" applyFont="1" applyFill="1" applyBorder="1" applyAlignment="1" applyProtection="1">
      <alignment horizontal="left" vertical="center"/>
    </xf>
    <xf numFmtId="0" fontId="54" fillId="23" borderId="41" xfId="166" applyFont="1" applyFill="1" applyBorder="1" applyAlignment="1" applyProtection="1">
      <alignment horizontal="center" vertical="center"/>
    </xf>
    <xf numFmtId="0" fontId="54" fillId="23" borderId="42" xfId="166" applyFont="1" applyFill="1" applyBorder="1" applyAlignment="1" applyProtection="1">
      <alignment horizontal="center" vertical="center"/>
    </xf>
    <xf numFmtId="0" fontId="60" fillId="23" borderId="39" xfId="166" applyFont="1" applyFill="1" applyBorder="1" applyAlignment="1" applyProtection="1">
      <alignment horizontal="left" vertical="center"/>
    </xf>
    <xf numFmtId="0" fontId="60" fillId="23" borderId="40" xfId="166" applyFont="1" applyFill="1" applyBorder="1" applyAlignment="1" applyProtection="1">
      <alignment horizontal="left" vertical="center"/>
    </xf>
    <xf numFmtId="0" fontId="60" fillId="23" borderId="38" xfId="166" applyFont="1" applyFill="1" applyBorder="1" applyAlignment="1" applyProtection="1">
      <alignment horizontal="left" vertical="center"/>
    </xf>
    <xf numFmtId="0" fontId="63" fillId="57" borderId="39" xfId="166" applyFont="1" applyFill="1" applyBorder="1" applyAlignment="1" applyProtection="1">
      <alignment horizontal="left" vertical="center"/>
    </xf>
    <xf numFmtId="0" fontId="63" fillId="57" borderId="38" xfId="166" applyFont="1" applyFill="1" applyBorder="1" applyAlignment="1" applyProtection="1">
      <alignment horizontal="left" vertical="center"/>
    </xf>
    <xf numFmtId="0" fontId="54" fillId="23" borderId="39" xfId="166" applyFont="1" applyFill="1" applyBorder="1" applyAlignment="1" applyProtection="1">
      <alignment horizontal="center" vertical="center"/>
    </xf>
    <xf numFmtId="0" fontId="54" fillId="23" borderId="40" xfId="166" applyFont="1" applyFill="1" applyBorder="1" applyAlignment="1" applyProtection="1">
      <alignment horizontal="center" vertical="center"/>
    </xf>
    <xf numFmtId="0" fontId="56" fillId="0" borderId="0" xfId="166" applyFont="1" applyFill="1" applyBorder="1" applyAlignment="1" applyProtection="1">
      <alignment horizontal="center" vertical="center"/>
    </xf>
    <xf numFmtId="0" fontId="56" fillId="0" borderId="32" xfId="166" applyFont="1" applyFill="1" applyBorder="1" applyAlignment="1" applyProtection="1">
      <alignment horizontal="center" vertical="center"/>
    </xf>
    <xf numFmtId="0" fontId="57" fillId="0" borderId="33" xfId="166" applyFont="1" applyBorder="1" applyAlignment="1" applyProtection="1">
      <alignment horizontal="center" vertical="center"/>
    </xf>
    <xf numFmtId="0" fontId="57" fillId="0" borderId="0" xfId="166" applyFont="1" applyBorder="1" applyAlignment="1" applyProtection="1">
      <alignment horizontal="center" vertical="center"/>
    </xf>
    <xf numFmtId="0" fontId="57" fillId="0" borderId="32" xfId="166" applyFont="1" applyBorder="1" applyAlignment="1" applyProtection="1">
      <alignment horizontal="center" vertical="center"/>
    </xf>
    <xf numFmtId="0" fontId="58" fillId="0" borderId="0" xfId="166" applyFont="1" applyFill="1" applyBorder="1" applyAlignment="1" applyProtection="1">
      <alignment horizontal="center" vertical="center"/>
    </xf>
    <xf numFmtId="0" fontId="58" fillId="0" borderId="32" xfId="166" applyFont="1" applyFill="1" applyBorder="1" applyAlignment="1" applyProtection="1">
      <alignment horizontal="center" vertical="center"/>
    </xf>
    <xf numFmtId="0" fontId="49" fillId="0" borderId="80" xfId="166" applyFont="1" applyBorder="1" applyAlignment="1" applyProtection="1">
      <alignment horizontal="left" vertical="center"/>
    </xf>
    <xf numFmtId="4" fontId="56" fillId="0" borderId="0" xfId="166" applyNumberFormat="1" applyFont="1" applyFill="1" applyBorder="1" applyAlignment="1" applyProtection="1">
      <alignment horizontal="center" vertical="center"/>
    </xf>
    <xf numFmtId="0" fontId="49" fillId="0" borderId="125" xfId="166" applyFont="1" applyFill="1" applyBorder="1" applyAlignment="1" applyProtection="1">
      <alignment horizontal="left" vertical="center" wrapText="1"/>
    </xf>
    <xf numFmtId="0" fontId="49" fillId="0" borderId="126" xfId="166" applyFont="1" applyFill="1" applyBorder="1" applyAlignment="1" applyProtection="1">
      <alignment horizontal="left" vertical="center" wrapText="1"/>
    </xf>
    <xf numFmtId="0" fontId="49" fillId="0" borderId="127" xfId="166" applyFont="1" applyFill="1" applyBorder="1" applyAlignment="1" applyProtection="1">
      <alignment horizontal="left" vertical="center" wrapText="1"/>
    </xf>
    <xf numFmtId="0" fontId="65" fillId="0" borderId="81" xfId="166" applyFont="1" applyBorder="1" applyAlignment="1" applyProtection="1">
      <alignment horizontal="left" vertical="center"/>
    </xf>
    <xf numFmtId="0" fontId="72" fillId="0" borderId="70" xfId="166" applyFont="1" applyFill="1" applyBorder="1" applyAlignment="1" applyProtection="1">
      <alignment horizontal="left" vertical="center" wrapText="1"/>
    </xf>
    <xf numFmtId="0" fontId="72" fillId="0" borderId="71" xfId="166" applyFont="1" applyFill="1" applyBorder="1" applyAlignment="1" applyProtection="1">
      <alignment horizontal="left" vertical="center" wrapText="1"/>
    </xf>
    <xf numFmtId="0" fontId="72" fillId="0" borderId="72" xfId="166" applyFont="1" applyFill="1" applyBorder="1" applyAlignment="1" applyProtection="1">
      <alignment horizontal="left" vertical="center" wrapText="1"/>
    </xf>
    <xf numFmtId="0" fontId="65" fillId="0" borderId="80" xfId="166" applyFont="1" applyBorder="1" applyAlignment="1" applyProtection="1">
      <alignment horizontal="left" vertical="center"/>
    </xf>
    <xf numFmtId="0" fontId="72" fillId="0" borderId="81" xfId="166" applyFont="1" applyBorder="1" applyAlignment="1" applyProtection="1">
      <alignment horizontal="left" vertical="center"/>
    </xf>
    <xf numFmtId="164" fontId="47" fillId="0" borderId="141" xfId="168" applyFont="1" applyFill="1" applyBorder="1" applyAlignment="1" applyProtection="1">
      <alignment horizontal="center" vertical="center" wrapText="1"/>
    </xf>
    <xf numFmtId="164" fontId="47" fillId="0" borderId="138" xfId="168" applyFont="1" applyFill="1" applyBorder="1" applyAlignment="1" applyProtection="1">
      <alignment horizontal="center" vertical="center"/>
    </xf>
    <xf numFmtId="164" fontId="47" fillId="0" borderId="139" xfId="168" applyFont="1" applyFill="1" applyBorder="1" applyAlignment="1" applyProtection="1">
      <alignment horizontal="center" vertical="center"/>
    </xf>
    <xf numFmtId="164" fontId="47" fillId="0" borderId="140" xfId="168" applyFont="1" applyFill="1" applyBorder="1" applyAlignment="1" applyProtection="1">
      <alignment horizontal="center" vertical="center"/>
    </xf>
    <xf numFmtId="0" fontId="38" fillId="68" borderId="0" xfId="0" applyFont="1" applyFill="1" applyAlignment="1">
      <alignment horizontal="center"/>
    </xf>
    <xf numFmtId="0" fontId="4" fillId="69" borderId="147" xfId="0" applyFont="1" applyFill="1" applyBorder="1" applyAlignment="1">
      <alignment horizontal="center" vertical="center"/>
    </xf>
    <xf numFmtId="0" fontId="4" fillId="69" borderId="151" xfId="0" applyFont="1" applyFill="1" applyBorder="1" applyAlignment="1">
      <alignment horizontal="center" vertical="center"/>
    </xf>
    <xf numFmtId="0" fontId="4" fillId="69" borderId="148" xfId="0" applyFont="1" applyFill="1" applyBorder="1" applyAlignment="1">
      <alignment horizontal="center" vertical="center"/>
    </xf>
    <xf numFmtId="0" fontId="4" fillId="69" borderId="152" xfId="0"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vertical="center"/>
    </xf>
  </cellXfs>
  <cellStyles count="177">
    <cellStyle name="0,0_x000a__x000a_NA_x000a__x000a_" xfId="174"/>
    <cellStyle name="0,0_x000d__x000a_NA_x000d__x000a_ 2" xfId="170"/>
    <cellStyle name="0,0_x000d__x000a_NA_x000d__x000a__Planilha Sesi  MOGI GUAÇU - FINAL_R01" xfId="173"/>
    <cellStyle name="20% - Accent1" xfId="1"/>
    <cellStyle name="20% - Accent2" xfId="2"/>
    <cellStyle name="20% - Accent3" xfId="3"/>
    <cellStyle name="20% - Accent4" xfId="4"/>
    <cellStyle name="20% - Accent5" xfId="5"/>
    <cellStyle name="20% - Accent6" xfId="6"/>
    <cellStyle name="20% - Ênfase1" xfId="79" builtinId="30" hidden="1"/>
    <cellStyle name="20% - Ênfase1" xfId="141" builtinId="30" hidden="1"/>
    <cellStyle name="20% - Ênfase2" xfId="83" builtinId="34" hidden="1"/>
    <cellStyle name="20% - Ênfase2" xfId="145" builtinId="34" hidden="1"/>
    <cellStyle name="20% - Ênfase3" xfId="87" builtinId="38" hidden="1"/>
    <cellStyle name="20% - Ênfase3" xfId="149" builtinId="38" hidden="1"/>
    <cellStyle name="20% - Ênfase4" xfId="91" builtinId="42" hidden="1"/>
    <cellStyle name="20% - Ênfase4" xfId="153" builtinId="42" hidden="1"/>
    <cellStyle name="20% - Ênfase5" xfId="95" builtinId="46" hidden="1"/>
    <cellStyle name="20% - Ênfase5" xfId="157" builtinId="46" hidden="1"/>
    <cellStyle name="20% - Ênfase6" xfId="99" builtinId="50" hidden="1"/>
    <cellStyle name="20% - Ênfase6" xfId="161" builtinId="50" hidden="1"/>
    <cellStyle name="40% - Accent1" xfId="7"/>
    <cellStyle name="40% - Accent2" xfId="8"/>
    <cellStyle name="40% - Accent3" xfId="9"/>
    <cellStyle name="40% - Accent4" xfId="10"/>
    <cellStyle name="40% - Accent5" xfId="11"/>
    <cellStyle name="40% - Accent6" xfId="12"/>
    <cellStyle name="40% - Ênfase1" xfId="80" builtinId="31" hidden="1"/>
    <cellStyle name="40% - Ênfase1" xfId="142" builtinId="31" hidden="1"/>
    <cellStyle name="40% - Ênfase2" xfId="84" builtinId="35" hidden="1"/>
    <cellStyle name="40% - Ênfase2" xfId="146" builtinId="35" hidden="1"/>
    <cellStyle name="40% - Ênfase3" xfId="88" builtinId="39" hidden="1"/>
    <cellStyle name="40% - Ênfase3" xfId="150" builtinId="39" hidden="1"/>
    <cellStyle name="40% - Ênfase4" xfId="92" builtinId="43" hidden="1"/>
    <cellStyle name="40% - Ênfase4" xfId="154" builtinId="43" hidden="1"/>
    <cellStyle name="40% - Ênfase5" xfId="96" builtinId="47" hidden="1"/>
    <cellStyle name="40% - Ênfase5" xfId="158" builtinId="47" hidden="1"/>
    <cellStyle name="40% - Ênfase6" xfId="100" builtinId="51" hidden="1"/>
    <cellStyle name="40% - Ênfase6" xfId="162" builtinId="51" hidden="1"/>
    <cellStyle name="60% - Accent1" xfId="13"/>
    <cellStyle name="60% - Accent2" xfId="14"/>
    <cellStyle name="60% - Accent3" xfId="15"/>
    <cellStyle name="60% - Accent4" xfId="16"/>
    <cellStyle name="60% - Accent5" xfId="17"/>
    <cellStyle name="60% - Accent6" xfId="18"/>
    <cellStyle name="60% - Ênfase1" xfId="81" builtinId="32" hidden="1"/>
    <cellStyle name="60% - Ênfase1" xfId="143" builtinId="32" hidden="1"/>
    <cellStyle name="60% - Ênfase2" xfId="85" builtinId="36" hidden="1"/>
    <cellStyle name="60% - Ênfase2" xfId="147" builtinId="36" hidden="1"/>
    <cellStyle name="60% - Ênfase3" xfId="89" builtinId="40" hidden="1"/>
    <cellStyle name="60% - Ênfase3" xfId="151" builtinId="40" hidden="1"/>
    <cellStyle name="60% - Ênfase4" xfId="93" builtinId="44" hidden="1"/>
    <cellStyle name="60% - Ênfase4" xfId="155" builtinId="44" hidden="1"/>
    <cellStyle name="60% - Ênfase5" xfId="97" builtinId="48" hidden="1"/>
    <cellStyle name="60% - Ênfase5" xfId="159" builtinId="48" hidden="1"/>
    <cellStyle name="60% - Ênfase6" xfId="101" builtinId="52" hidden="1"/>
    <cellStyle name="60% - Ênfase6" xfId="163" builtinId="52" hidden="1"/>
    <cellStyle name="Accent1" xfId="19"/>
    <cellStyle name="Accent2" xfId="20"/>
    <cellStyle name="Accent3" xfId="21"/>
    <cellStyle name="Accent4" xfId="22"/>
    <cellStyle name="Accent5" xfId="23"/>
    <cellStyle name="Accent6" xfId="24"/>
    <cellStyle name="Bad" xfId="25"/>
    <cellStyle name="Bom" xfId="67" builtinId="26" hidden="1"/>
    <cellStyle name="Bom" xfId="129" builtinId="26" hidden="1"/>
    <cellStyle name="Calculation" xfId="26"/>
    <cellStyle name="Cálculo" xfId="72" builtinId="22" hidden="1"/>
    <cellStyle name="Cálculo" xfId="134" builtinId="22" hidden="1"/>
    <cellStyle name="Célula de Verificação" xfId="74" builtinId="23" hidden="1"/>
    <cellStyle name="Célula de Verificação" xfId="136" builtinId="23" hidden="1"/>
    <cellStyle name="Célula Vinculada" xfId="73" builtinId="24" hidden="1"/>
    <cellStyle name="Célula Vinculada" xfId="135" builtinId="24" hidden="1"/>
    <cellStyle name="Check Cell" xfId="27"/>
    <cellStyle name="Data" xfId="28"/>
    <cellStyle name="Data 2" xfId="29"/>
    <cellStyle name="Data 2 2" xfId="110"/>
    <cellStyle name="Ênfase1" xfId="78" builtinId="29" hidden="1"/>
    <cellStyle name="Ênfase1" xfId="140" builtinId="29" hidden="1"/>
    <cellStyle name="Ênfase2" xfId="82" builtinId="33" hidden="1"/>
    <cellStyle name="Ênfase2" xfId="144" builtinId="33" hidden="1"/>
    <cellStyle name="Ênfase3" xfId="86" builtinId="37" hidden="1"/>
    <cellStyle name="Ênfase3" xfId="148" builtinId="37" hidden="1"/>
    <cellStyle name="Ênfase4" xfId="90" builtinId="41" hidden="1"/>
    <cellStyle name="Ênfase4" xfId="152" builtinId="41" hidden="1"/>
    <cellStyle name="Ênfase5" xfId="94" builtinId="45" hidden="1"/>
    <cellStyle name="Ênfase5" xfId="156" builtinId="45" hidden="1"/>
    <cellStyle name="Ênfase6" xfId="98" builtinId="49" hidden="1"/>
    <cellStyle name="Ênfase6" xfId="160" builtinId="49" hidden="1"/>
    <cellStyle name="Entrada" xfId="70" builtinId="20" hidden="1"/>
    <cellStyle name="Entrada" xfId="132" builtinId="20" hidden="1"/>
    <cellStyle name="Euro" xfId="30"/>
    <cellStyle name="Euro 2" xfId="31"/>
    <cellStyle name="Euro 2 2" xfId="111"/>
    <cellStyle name="Explanatory Text" xfId="32"/>
    <cellStyle name="Fixo" xfId="33"/>
    <cellStyle name="Fixo 2" xfId="34"/>
    <cellStyle name="Fixo 2 2" xfId="112"/>
    <cellStyle name="Good" xfId="35"/>
    <cellStyle name="Heading 1" xfId="36"/>
    <cellStyle name="Heading 2" xfId="37"/>
    <cellStyle name="Heading 3" xfId="38"/>
    <cellStyle name="Heading 4" xfId="39"/>
    <cellStyle name="Incorreto" xfId="68" builtinId="27" hidden="1"/>
    <cellStyle name="Incorreto" xfId="130" builtinId="27" hidden="1"/>
    <cellStyle name="Input" xfId="40"/>
    <cellStyle name="Linked Cell" xfId="41"/>
    <cellStyle name="Moeda 2" xfId="164"/>
    <cellStyle name="Moeda0" xfId="42"/>
    <cellStyle name="Moeda0 2" xfId="43"/>
    <cellStyle name="Moeda0 2 2" xfId="113"/>
    <cellStyle name="Neutra" xfId="69" builtinId="28" hidden="1"/>
    <cellStyle name="Neutra" xfId="131" builtinId="28" hidden="1"/>
    <cellStyle name="Neutral" xfId="44"/>
    <cellStyle name="Normal" xfId="0" builtinId="0"/>
    <cellStyle name="Normal 10" xfId="105"/>
    <cellStyle name="Normal 11" xfId="108"/>
    <cellStyle name="Normal 13" xfId="104"/>
    <cellStyle name="Normal 14" xfId="103"/>
    <cellStyle name="Normal 15" xfId="167"/>
    <cellStyle name="Normal 2" xfId="45"/>
    <cellStyle name="Normal 2 2" xfId="114"/>
    <cellStyle name="Normal 2 2 2 2" xfId="46"/>
    <cellStyle name="Normal 2 2 2 2 2" xfId="115"/>
    <cellStyle name="Normal 2 3" xfId="47"/>
    <cellStyle name="Normal 2 3 2" xfId="116"/>
    <cellStyle name="Normal 3" xfId="102"/>
    <cellStyle name="Normal 33" xfId="176"/>
    <cellStyle name="Normal 4" xfId="106"/>
    <cellStyle name="Normal 5" xfId="165"/>
    <cellStyle name="Normal 6" xfId="107"/>
    <cellStyle name="Normal 7" xfId="166"/>
    <cellStyle name="Normal 8" xfId="109"/>
    <cellStyle name="Nota" xfId="76" builtinId="10" hidden="1"/>
    <cellStyle name="Nota" xfId="138" builtinId="10" hidden="1"/>
    <cellStyle name="Note" xfId="48"/>
    <cellStyle name="Note 2" xfId="117"/>
    <cellStyle name="Output" xfId="49"/>
    <cellStyle name="Porcentagem" xfId="50" builtinId="5"/>
    <cellStyle name="Porcentagem 2" xfId="51"/>
    <cellStyle name="Porcentagem 2 2" xfId="118"/>
    <cellStyle name="Saída" xfId="71" builtinId="21" hidden="1"/>
    <cellStyle name="Saída" xfId="133" builtinId="21" hidden="1"/>
    <cellStyle name="Separador de milhares 2" xfId="53"/>
    <cellStyle name="Separador de milhares 2 2" xfId="119"/>
    <cellStyle name="Separador de milhares 3" xfId="54"/>
    <cellStyle name="Separador de milhares 3 2" xfId="55"/>
    <cellStyle name="Separador de milhares 3 2 2" xfId="121"/>
    <cellStyle name="Separador de milhares 3 3" xfId="120"/>
    <cellStyle name="Separador de milhares 3 3 2" xfId="168"/>
    <cellStyle name="Texto de Aviso" xfId="75" builtinId="11" hidden="1"/>
    <cellStyle name="Texto de Aviso" xfId="137" builtinId="11" hidden="1"/>
    <cellStyle name="Texto Explicativo" xfId="77" builtinId="53" hidden="1"/>
    <cellStyle name="Texto Explicativo" xfId="139" builtinId="53" hidden="1"/>
    <cellStyle name="Title" xfId="56"/>
    <cellStyle name="Título" xfId="62" builtinId="15" hidden="1"/>
    <cellStyle name="Título" xfId="124" builtinId="15" hidden="1"/>
    <cellStyle name="Título 1" xfId="63" builtinId="16" hidden="1"/>
    <cellStyle name="Título 1" xfId="125" builtinId="16" hidden="1"/>
    <cellStyle name="Título 2" xfId="64" builtinId="17" hidden="1"/>
    <cellStyle name="Título 2" xfId="126" builtinId="17" hidden="1"/>
    <cellStyle name="Título 3" xfId="65" builtinId="18" hidden="1"/>
    <cellStyle name="Título 3" xfId="127" builtinId="18" hidden="1"/>
    <cellStyle name="Título 4" xfId="66" builtinId="19" hidden="1"/>
    <cellStyle name="Título 4" xfId="128" builtinId="19" hidden="1"/>
    <cellStyle name="Total" xfId="57" builtinId="25" customBuiltin="1"/>
    <cellStyle name="Vírgula" xfId="52" builtinId="3"/>
    <cellStyle name="Vírgula 2" xfId="58"/>
    <cellStyle name="Vírgula 2 2" xfId="122"/>
    <cellStyle name="Vírgula 2 2 2" xfId="175"/>
    <cellStyle name="Vírgula 3" xfId="169"/>
    <cellStyle name="Vírgula 5" xfId="171"/>
    <cellStyle name="Vírgula 6" xfId="172"/>
    <cellStyle name="Vírgula0" xfId="59"/>
    <cellStyle name="Vírgula0 2" xfId="60"/>
    <cellStyle name="Vírgula0 2 2" xfId="123"/>
    <cellStyle name="Warning Text" xfId="61"/>
  </cellStyles>
  <dxfs count="0"/>
  <tableStyles count="0" defaultTableStyle="TableStyleMedium9" defaultPivotStyle="PivotStyleLight16"/>
  <colors>
    <mruColors>
      <color rgb="FFFFFF66"/>
      <color rgb="FF0070C0"/>
      <color rgb="FF66CCFF"/>
      <color rgb="FFC0C0C0"/>
      <color rgb="FFCCFFFF"/>
      <color rgb="FFFFFFFF"/>
      <color rgb="FFFFFFCC"/>
      <color rgb="FFDDDDDD"/>
      <color rgb="FFE4DFEC"/>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8"/>
  <sheetViews>
    <sheetView showZeros="0" tabSelected="1" zoomScale="55" zoomScaleNormal="55" workbookViewId="0">
      <pane ySplit="7" topLeftCell="A8" activePane="bottomLeft" state="frozen"/>
      <selection pane="bottomLeft" activeCell="E11" sqref="E11"/>
    </sheetView>
  </sheetViews>
  <sheetFormatPr defaultColWidth="9.140625" defaultRowHeight="12.75" outlineLevelRow="1" x14ac:dyDescent="0.2"/>
  <cols>
    <col min="1" max="1" width="3.140625" style="107" customWidth="1"/>
    <col min="2" max="2" width="16.7109375" style="101" customWidth="1"/>
    <col min="3" max="3" width="18.85546875" style="101" customWidth="1"/>
    <col min="4" max="4" width="20" style="101" customWidth="1"/>
    <col min="5" max="5" width="80.7109375" style="102" customWidth="1"/>
    <col min="6" max="6" width="17.28515625" style="102" customWidth="1"/>
    <col min="7" max="7" width="13.28515625" style="103" customWidth="1"/>
    <col min="8" max="8" width="18.7109375" style="104" customWidth="1"/>
    <col min="9" max="9" width="18.7109375" style="105" customWidth="1"/>
    <col min="10" max="11" width="18.7109375" style="104" customWidth="1"/>
    <col min="12" max="12" width="25.140625" style="101" bestFit="1" customWidth="1"/>
    <col min="13" max="13" width="14.85546875" style="106" customWidth="1"/>
    <col min="14" max="14" width="3.85546875" style="107" customWidth="1"/>
    <col min="15" max="15" width="18" style="107" bestFit="1" customWidth="1"/>
    <col min="16" max="24" width="9.140625" style="107" customWidth="1"/>
    <col min="25" max="25" width="9.140625" style="107"/>
    <col min="26" max="26" width="19" style="107" customWidth="1"/>
    <col min="27" max="16384" width="9.140625" style="107"/>
  </cols>
  <sheetData>
    <row r="1" spans="1:16" ht="13.5" thickBot="1" x14ac:dyDescent="0.25"/>
    <row r="2" spans="1:16" s="234" customFormat="1" ht="30" customHeight="1" x14ac:dyDescent="0.2">
      <c r="A2" s="108"/>
      <c r="B2" s="409" t="s">
        <v>104</v>
      </c>
      <c r="C2" s="410"/>
      <c r="D2" s="410"/>
      <c r="E2" s="410"/>
      <c r="F2" s="410"/>
      <c r="G2" s="410"/>
      <c r="H2" s="410"/>
      <c r="I2" s="410"/>
      <c r="J2" s="410"/>
      <c r="K2" s="410"/>
      <c r="L2" s="410"/>
      <c r="M2" s="411"/>
    </row>
    <row r="3" spans="1:16" s="234" customFormat="1" ht="24.95" customHeight="1" x14ac:dyDescent="0.2">
      <c r="A3" s="108"/>
      <c r="B3" s="412" t="s">
        <v>105</v>
      </c>
      <c r="C3" s="413"/>
      <c r="D3" s="413"/>
      <c r="E3" s="413"/>
      <c r="F3" s="413"/>
      <c r="G3" s="413"/>
      <c r="H3" s="413"/>
      <c r="I3" s="413"/>
      <c r="J3" s="413"/>
      <c r="K3" s="413"/>
      <c r="L3" s="413"/>
      <c r="M3" s="414"/>
    </row>
    <row r="4" spans="1:16" s="234" customFormat="1" ht="24.95" customHeight="1" x14ac:dyDescent="0.2">
      <c r="A4" s="108"/>
      <c r="B4" s="412" t="s">
        <v>106</v>
      </c>
      <c r="C4" s="413"/>
      <c r="D4" s="413"/>
      <c r="E4" s="413"/>
      <c r="F4" s="413"/>
      <c r="G4" s="413"/>
      <c r="H4" s="413"/>
      <c r="I4" s="413"/>
      <c r="J4" s="413"/>
      <c r="K4" s="413"/>
      <c r="L4" s="413"/>
      <c r="M4" s="414"/>
      <c r="O4" s="234" t="s">
        <v>266</v>
      </c>
      <c r="P4" s="234">
        <v>15</v>
      </c>
    </row>
    <row r="5" spans="1:16" s="234" customFormat="1" ht="24.95" customHeight="1" x14ac:dyDescent="0.2">
      <c r="A5" s="108"/>
      <c r="B5" s="412" t="s">
        <v>107</v>
      </c>
      <c r="C5" s="413"/>
      <c r="D5" s="413"/>
      <c r="E5" s="413"/>
      <c r="F5" s="413"/>
      <c r="G5" s="413"/>
      <c r="H5" s="413"/>
      <c r="I5" s="413"/>
      <c r="J5" s="413"/>
      <c r="K5" s="413"/>
      <c r="L5" s="413"/>
      <c r="M5" s="414"/>
    </row>
    <row r="6" spans="1:16" s="234" customFormat="1" ht="9.9499999999999993" customHeight="1" thickBot="1" x14ac:dyDescent="0.25">
      <c r="A6" s="108"/>
      <c r="B6" s="406"/>
      <c r="C6" s="407"/>
      <c r="D6" s="407"/>
      <c r="E6" s="407"/>
      <c r="F6" s="407"/>
      <c r="G6" s="407"/>
      <c r="H6" s="407"/>
      <c r="I6" s="407"/>
      <c r="J6" s="407"/>
      <c r="K6" s="407"/>
      <c r="L6" s="407"/>
      <c r="M6" s="408"/>
    </row>
    <row r="7" spans="1:16" s="109" customFormat="1" ht="36" x14ac:dyDescent="0.2">
      <c r="B7" s="213" t="s">
        <v>19</v>
      </c>
      <c r="C7" s="214" t="s">
        <v>68</v>
      </c>
      <c r="D7" s="214" t="s">
        <v>66</v>
      </c>
      <c r="E7" s="214" t="s">
        <v>69</v>
      </c>
      <c r="F7" s="214" t="s">
        <v>27</v>
      </c>
      <c r="G7" s="214" t="s">
        <v>30</v>
      </c>
      <c r="H7" s="215" t="s">
        <v>81</v>
      </c>
      <c r="I7" s="215" t="s">
        <v>79</v>
      </c>
      <c r="J7" s="215" t="s">
        <v>80</v>
      </c>
      <c r="K7" s="215" t="s">
        <v>78</v>
      </c>
      <c r="L7" s="214" t="s">
        <v>28</v>
      </c>
      <c r="M7" s="216" t="s">
        <v>67</v>
      </c>
    </row>
    <row r="8" spans="1:16" s="109" customFormat="1" ht="9" customHeight="1" x14ac:dyDescent="0.2">
      <c r="B8" s="110"/>
      <c r="C8" s="111"/>
      <c r="D8" s="111"/>
      <c r="E8" s="111"/>
      <c r="F8" s="111"/>
      <c r="G8" s="111"/>
      <c r="H8" s="112"/>
      <c r="I8" s="112"/>
      <c r="J8" s="112"/>
      <c r="K8" s="112"/>
      <c r="L8" s="111"/>
      <c r="M8" s="113"/>
    </row>
    <row r="9" spans="1:16" s="109" customFormat="1" ht="25.5" customHeight="1" outlineLevel="1" x14ac:dyDescent="0.2">
      <c r="B9" s="206">
        <v>1</v>
      </c>
      <c r="C9" s="207"/>
      <c r="D9" s="207"/>
      <c r="E9" s="208" t="s">
        <v>75</v>
      </c>
      <c r="F9" s="209"/>
      <c r="G9" s="205"/>
      <c r="H9" s="210"/>
      <c r="I9" s="210"/>
      <c r="J9" s="209"/>
      <c r="K9" s="209"/>
      <c r="L9" s="211">
        <f>SUBTOTAL(9,L10:L19)</f>
        <v>2149811.1</v>
      </c>
      <c r="M9" s="212">
        <f t="shared" ref="M9:M20" si="0">+L9/$L$851</f>
        <v>7.7854387472433992E-2</v>
      </c>
    </row>
    <row r="10" spans="1:16" s="313" customFormat="1" ht="36" outlineLevel="1" x14ac:dyDescent="0.2">
      <c r="B10" s="314" t="s">
        <v>20</v>
      </c>
      <c r="C10" s="315" t="str">
        <f>VLOOKUP(D10,Fontes!$A$6:$H$11629,8,FALSE)</f>
        <v>SINAPI / RJ</v>
      </c>
      <c r="D10" s="315">
        <v>93568</v>
      </c>
      <c r="E10" s="204" t="str">
        <f>VLOOKUP(D10,Fontes!$A$6:$H$11629,2,FALSE)</f>
        <v>Engenheiro civil de obra senior com encargos complementares</v>
      </c>
      <c r="F10" s="203">
        <f>$P$4</f>
        <v>15</v>
      </c>
      <c r="G10" s="203" t="str">
        <f>VLOOKUP(D10,Fontes!$A$6:$L$11629,3,FALSE)</f>
        <v>mês</v>
      </c>
      <c r="H10" s="203">
        <v>289.58999999999997</v>
      </c>
      <c r="I10" s="203">
        <v>30718.196628165839</v>
      </c>
      <c r="J10" s="203">
        <v>0</v>
      </c>
      <c r="K10" s="316">
        <f>ROUND(+H10+I10+J10,2)</f>
        <v>31007.79</v>
      </c>
      <c r="L10" s="317">
        <f>ROUND(F10*K10,2)</f>
        <v>465116.85</v>
      </c>
      <c r="M10" s="318">
        <f t="shared" si="0"/>
        <v>1.6843985715702163E-2</v>
      </c>
    </row>
    <row r="11" spans="1:16" s="313" customFormat="1" ht="36" outlineLevel="1" x14ac:dyDescent="0.2">
      <c r="B11" s="314" t="s">
        <v>21</v>
      </c>
      <c r="C11" s="315" t="str">
        <f>VLOOKUP(D11,Fontes!$A$6:$H$11629,8,FALSE)</f>
        <v>SINAPI / RJ</v>
      </c>
      <c r="D11" s="315">
        <v>93567</v>
      </c>
      <c r="E11" s="204" t="str">
        <f>VLOOKUP(D11,Fontes!$A$6:$H$11629,2,FALSE)</f>
        <v>Engenheiro civil de obra pleno com encargos complementares</v>
      </c>
      <c r="F11" s="203">
        <f t="shared" ref="F11:F18" si="1">$P$4</f>
        <v>15</v>
      </c>
      <c r="G11" s="203" t="str">
        <f>VLOOKUP(D11,Fontes!$A$6:$L$11629,3,FALSE)</f>
        <v>mês</v>
      </c>
      <c r="H11" s="203">
        <v>373.52665920835693</v>
      </c>
      <c r="I11" s="203">
        <v>27556.423340791644</v>
      </c>
      <c r="J11" s="203">
        <v>0</v>
      </c>
      <c r="K11" s="316">
        <f t="shared" ref="K11:K19" si="2">ROUND(+H11+I11+J11,2)</f>
        <v>27929.95</v>
      </c>
      <c r="L11" s="317">
        <f t="shared" ref="L11:L19" si="3">ROUND(F11*K11,2)</f>
        <v>418949.25</v>
      </c>
      <c r="M11" s="318">
        <f t="shared" si="0"/>
        <v>1.5172048018909947E-2</v>
      </c>
    </row>
    <row r="12" spans="1:16" s="313" customFormat="1" ht="36" outlineLevel="1" x14ac:dyDescent="0.2">
      <c r="B12" s="314" t="s">
        <v>70</v>
      </c>
      <c r="C12" s="315" t="str">
        <f>VLOOKUP(D12,Fontes!$A$6:$H$11629,8,FALSE)</f>
        <v>SINAPI / RJ</v>
      </c>
      <c r="D12" s="315">
        <v>101390</v>
      </c>
      <c r="E12" s="204" t="str">
        <f>VLOOKUP(D12,Fontes!$A$6:$H$11629,2,FALSE)</f>
        <v>Auxiliar técnico / Assistente de engenharia com encargos complementares</v>
      </c>
      <c r="F12" s="203">
        <f t="shared" si="1"/>
        <v>15</v>
      </c>
      <c r="G12" s="203" t="str">
        <f>VLOOKUP(D12,Fontes!$A$6:$L$11629,3,FALSE)</f>
        <v>mês</v>
      </c>
      <c r="H12" s="203">
        <v>353.02739450619487</v>
      </c>
      <c r="I12" s="203">
        <v>7986.7526054938062</v>
      </c>
      <c r="J12" s="203">
        <v>0</v>
      </c>
      <c r="K12" s="316">
        <f t="shared" si="2"/>
        <v>8339.7800000000007</v>
      </c>
      <c r="L12" s="317">
        <f t="shared" si="3"/>
        <v>125096.7</v>
      </c>
      <c r="M12" s="318">
        <f t="shared" si="0"/>
        <v>4.5303175489803879E-3</v>
      </c>
    </row>
    <row r="13" spans="1:16" s="313" customFormat="1" ht="18" outlineLevel="1" x14ac:dyDescent="0.2">
      <c r="B13" s="314" t="s">
        <v>71</v>
      </c>
      <c r="C13" s="315" t="str">
        <f>VLOOKUP(D13,Fontes!$A$6:$H$11629,8,FALSE)</f>
        <v>SINAPI / RJ</v>
      </c>
      <c r="D13" s="315">
        <v>100534</v>
      </c>
      <c r="E13" s="204" t="str">
        <f>VLOOKUP(D13,Fontes!$A$6:$H$11629,2,FALSE)</f>
        <v>Técnico de edificações com encargos complementares</v>
      </c>
      <c r="F13" s="203">
        <f t="shared" si="1"/>
        <v>15</v>
      </c>
      <c r="G13" s="203" t="str">
        <f>VLOOKUP(D13,Fontes!$A$6:$L$11629,3,FALSE)</f>
        <v>mês</v>
      </c>
      <c r="H13" s="203">
        <v>408.50557719223826</v>
      </c>
      <c r="I13" s="203">
        <v>4885.2044228077621</v>
      </c>
      <c r="J13" s="203">
        <v>0</v>
      </c>
      <c r="K13" s="316">
        <f t="shared" si="2"/>
        <v>5293.71</v>
      </c>
      <c r="L13" s="317">
        <f t="shared" si="3"/>
        <v>79405.649999999994</v>
      </c>
      <c r="M13" s="318">
        <f t="shared" si="0"/>
        <v>2.875637883998495E-3</v>
      </c>
    </row>
    <row r="14" spans="1:16" s="313" customFormat="1" ht="18" outlineLevel="1" x14ac:dyDescent="0.2">
      <c r="B14" s="314" t="s">
        <v>72</v>
      </c>
      <c r="C14" s="315" t="str">
        <f>VLOOKUP(D14,Fontes!$A$6:$H$11629,8,FALSE)</f>
        <v>SINAPI / RJ</v>
      </c>
      <c r="D14" s="315">
        <v>94295</v>
      </c>
      <c r="E14" s="204" t="str">
        <f>VLOOKUP(D14,Fontes!$A$6:$H$11629,2,FALSE)</f>
        <v>Mestre de obras com encargos complementares</v>
      </c>
      <c r="F14" s="203">
        <f t="shared" si="1"/>
        <v>15</v>
      </c>
      <c r="G14" s="203" t="str">
        <f>VLOOKUP(D14,Fontes!$A$6:$L$11629,3,FALSE)</f>
        <v>mês</v>
      </c>
      <c r="H14" s="203">
        <v>499.6440736620446</v>
      </c>
      <c r="I14" s="203">
        <v>12869.225926337956</v>
      </c>
      <c r="J14" s="203">
        <v>0</v>
      </c>
      <c r="K14" s="316">
        <f t="shared" si="2"/>
        <v>13368.87</v>
      </c>
      <c r="L14" s="317">
        <f t="shared" si="3"/>
        <v>200533.05</v>
      </c>
      <c r="M14" s="318">
        <f t="shared" si="0"/>
        <v>7.2622091195496093E-3</v>
      </c>
    </row>
    <row r="15" spans="1:16" s="313" customFormat="1" ht="18" outlineLevel="1" x14ac:dyDescent="0.2">
      <c r="B15" s="314" t="s">
        <v>127</v>
      </c>
      <c r="C15" s="315" t="str">
        <f>VLOOKUP(D15,Fontes!$A$6:$H$11629,8,FALSE)</f>
        <v>SINAPI / RJ</v>
      </c>
      <c r="D15" s="315">
        <v>93572</v>
      </c>
      <c r="E15" s="204" t="str">
        <f>VLOOKUP(D15,Fontes!$A$6:$H$11629,2,FALSE)</f>
        <v>Encarregado geral de obras com encargos complementares</v>
      </c>
      <c r="F15" s="203">
        <f t="shared" si="1"/>
        <v>15</v>
      </c>
      <c r="G15" s="203" t="str">
        <f>VLOOKUP(D15,Fontes!$A$6:$L$11629,3,FALSE)</f>
        <v>mês</v>
      </c>
      <c r="H15" s="203">
        <v>565.59016200500673</v>
      </c>
      <c r="I15" s="203">
        <v>9598.2998379949913</v>
      </c>
      <c r="J15" s="203">
        <v>0</v>
      </c>
      <c r="K15" s="316">
        <f t="shared" si="2"/>
        <v>10163.89</v>
      </c>
      <c r="L15" s="317">
        <f t="shared" si="3"/>
        <v>152458.35</v>
      </c>
      <c r="M15" s="318">
        <f t="shared" si="0"/>
        <v>5.5212067024437428E-3</v>
      </c>
    </row>
    <row r="16" spans="1:16" s="313" customFormat="1" ht="18" outlineLevel="1" x14ac:dyDescent="0.2">
      <c r="B16" s="314" t="s">
        <v>128</v>
      </c>
      <c r="C16" s="315" t="str">
        <f>VLOOKUP(D16,Fontes!$A$6:$H$11629,8,FALSE)</f>
        <v>SINAPI / RJ</v>
      </c>
      <c r="D16" s="315">
        <v>93563</v>
      </c>
      <c r="E16" s="204" t="str">
        <f>VLOOKUP(D16,Fontes!$A$6:$H$11629,2,FALSE)</f>
        <v>Almoxarife com encargos complementares</v>
      </c>
      <c r="F16" s="203">
        <f t="shared" si="1"/>
        <v>15</v>
      </c>
      <c r="G16" s="203" t="str">
        <f>VLOOKUP(D16,Fontes!$A$6:$L$11629,3,FALSE)</f>
        <v>mês</v>
      </c>
      <c r="H16" s="203">
        <v>464.89333356397577</v>
      </c>
      <c r="I16" s="203">
        <v>7054.766666436024</v>
      </c>
      <c r="J16" s="203">
        <v>0</v>
      </c>
      <c r="K16" s="316">
        <f t="shared" si="2"/>
        <v>7519.66</v>
      </c>
      <c r="L16" s="317">
        <f t="shared" si="3"/>
        <v>112794.9</v>
      </c>
      <c r="M16" s="318">
        <f t="shared" si="0"/>
        <v>4.0848137073598899E-3</v>
      </c>
    </row>
    <row r="17" spans="2:13" s="313" customFormat="1" ht="18" outlineLevel="1" x14ac:dyDescent="0.2">
      <c r="B17" s="314" t="s">
        <v>129</v>
      </c>
      <c r="C17" s="315" t="str">
        <f>VLOOKUP(D17,Fontes!$A$6:$H$11629,8,FALSE)</f>
        <v>SINAPI / RJ</v>
      </c>
      <c r="D17" s="315">
        <v>93566</v>
      </c>
      <c r="E17" s="204" t="str">
        <f>VLOOKUP(D17,Fontes!$A$6:$H$11629,2,FALSE)</f>
        <v>Auxiliar de escritorio com encargos complementares</v>
      </c>
      <c r="F17" s="203">
        <f t="shared" si="1"/>
        <v>15</v>
      </c>
      <c r="G17" s="203" t="str">
        <f>VLOOKUP(D17,Fontes!$A$6:$L$11629,3,FALSE)</f>
        <v>mês</v>
      </c>
      <c r="H17" s="203">
        <v>465.35252581391416</v>
      </c>
      <c r="I17" s="203">
        <v>5507.3174741860857</v>
      </c>
      <c r="J17" s="203">
        <v>0</v>
      </c>
      <c r="K17" s="316">
        <f t="shared" si="2"/>
        <v>5972.67</v>
      </c>
      <c r="L17" s="317">
        <f t="shared" si="3"/>
        <v>89590.05</v>
      </c>
      <c r="M17" s="318">
        <f t="shared" si="0"/>
        <v>3.2444610907324529E-3</v>
      </c>
    </row>
    <row r="18" spans="2:13" s="313" customFormat="1" ht="36" outlineLevel="1" x14ac:dyDescent="0.2">
      <c r="B18" s="314" t="s">
        <v>130</v>
      </c>
      <c r="C18" s="315" t="str">
        <f>VLOOKUP(D18,Fontes!$A$6:$H$11629,8,FALSE)</f>
        <v>SINAPI / RJ</v>
      </c>
      <c r="D18" s="315">
        <v>100321</v>
      </c>
      <c r="E18" s="204" t="str">
        <f>VLOOKUP(D18,Fontes!$A$6:$H$11629,2,FALSE)</f>
        <v>Técnico em segurança do trabalho com encargos complementares</v>
      </c>
      <c r="F18" s="203">
        <f t="shared" si="1"/>
        <v>15</v>
      </c>
      <c r="G18" s="203" t="str">
        <f>VLOOKUP(D18,Fontes!$A$6:$L$11629,3,FALSE)</f>
        <v>mês</v>
      </c>
      <c r="H18" s="203">
        <v>9307.4124489444894</v>
      </c>
      <c r="I18" s="203">
        <v>9307.4124489444894</v>
      </c>
      <c r="J18" s="203">
        <v>0</v>
      </c>
      <c r="K18" s="316">
        <f t="shared" si="2"/>
        <v>18614.82</v>
      </c>
      <c r="L18" s="317">
        <f t="shared" si="3"/>
        <v>279222.3</v>
      </c>
      <c r="M18" s="318">
        <f t="shared" si="0"/>
        <v>1.0111902917956002E-2</v>
      </c>
    </row>
    <row r="19" spans="2:13" s="313" customFormat="1" ht="18" outlineLevel="1" x14ac:dyDescent="0.2">
      <c r="B19" s="314" t="s">
        <v>131</v>
      </c>
      <c r="C19" s="315" t="str">
        <f>VLOOKUP(D19,Fontes!$A$6:$H$11629,8,FALSE)</f>
        <v>SINAPI / RJ</v>
      </c>
      <c r="D19" s="315">
        <v>88326</v>
      </c>
      <c r="E19" s="204" t="str">
        <f>VLOOKUP(D19,Fontes!$A$6:$H$11629,2,FALSE)</f>
        <v>Vigia noturno com encargos complementares</v>
      </c>
      <c r="F19" s="203">
        <f>220*2*P4</f>
        <v>6600</v>
      </c>
      <c r="G19" s="203" t="str">
        <f>VLOOKUP(D19,Fontes!$A$6:$L$11629,3,FALSE)</f>
        <v>h</v>
      </c>
      <c r="H19" s="203">
        <v>8.3807950472466608</v>
      </c>
      <c r="I19" s="203">
        <v>25.959204952753346</v>
      </c>
      <c r="J19" s="203">
        <v>0</v>
      </c>
      <c r="K19" s="316">
        <f t="shared" si="2"/>
        <v>34.340000000000003</v>
      </c>
      <c r="L19" s="317">
        <f t="shared" si="3"/>
        <v>226644</v>
      </c>
      <c r="M19" s="318">
        <f t="shared" si="0"/>
        <v>8.2078047668012917E-3</v>
      </c>
    </row>
    <row r="20" spans="2:13" s="109" customFormat="1" ht="18" outlineLevel="1" x14ac:dyDescent="0.2">
      <c r="B20" s="121"/>
      <c r="C20" s="122"/>
      <c r="D20" s="122"/>
      <c r="E20" s="310"/>
      <c r="F20" s="118"/>
      <c r="G20" s="123"/>
      <c r="H20" s="118"/>
      <c r="I20" s="118"/>
      <c r="J20" s="118"/>
      <c r="K20" s="118"/>
      <c r="L20" s="119"/>
      <c r="M20" s="120">
        <f t="shared" si="0"/>
        <v>0</v>
      </c>
    </row>
    <row r="21" spans="2:13" s="109" customFormat="1" ht="18" outlineLevel="1" x14ac:dyDescent="0.2">
      <c r="B21" s="121"/>
      <c r="C21" s="122"/>
      <c r="D21" s="122"/>
      <c r="E21" s="310"/>
      <c r="F21" s="118"/>
      <c r="G21" s="123"/>
      <c r="H21" s="118"/>
      <c r="I21" s="118"/>
      <c r="J21" s="118"/>
      <c r="K21" s="118"/>
      <c r="L21" s="119"/>
      <c r="M21" s="120"/>
    </row>
    <row r="22" spans="2:13" s="109" customFormat="1" ht="25.5" customHeight="1" outlineLevel="1" x14ac:dyDescent="0.2">
      <c r="B22" s="206">
        <v>2</v>
      </c>
      <c r="C22" s="207"/>
      <c r="D22" s="207"/>
      <c r="E22" s="309" t="s">
        <v>140</v>
      </c>
      <c r="F22" s="209"/>
      <c r="G22" s="205"/>
      <c r="H22" s="210"/>
      <c r="I22" s="210"/>
      <c r="J22" s="209"/>
      <c r="K22" s="209"/>
      <c r="L22" s="211">
        <f>SUBTOTAL(9,L23:L47)</f>
        <v>546605.09000000008</v>
      </c>
      <c r="M22" s="212">
        <f t="shared" ref="M22:M53" si="4">+L22/$L$851</f>
        <v>1.9795043606977682E-2</v>
      </c>
    </row>
    <row r="23" spans="2:13" s="109" customFormat="1" ht="25.5" customHeight="1" outlineLevel="1" x14ac:dyDescent="0.2">
      <c r="B23" s="217" t="s">
        <v>22</v>
      </c>
      <c r="C23" s="218"/>
      <c r="D23" s="218"/>
      <c r="E23" s="311" t="s">
        <v>73</v>
      </c>
      <c r="F23" s="219"/>
      <c r="G23" s="220"/>
      <c r="H23" s="221"/>
      <c r="I23" s="221"/>
      <c r="J23" s="219"/>
      <c r="K23" s="219"/>
      <c r="L23" s="222">
        <f>SUBTOTAL(9,L24:L47)</f>
        <v>546605.09000000008</v>
      </c>
      <c r="M23" s="223">
        <f t="shared" si="4"/>
        <v>1.9795043606977682E-2</v>
      </c>
    </row>
    <row r="24" spans="2:13" s="313" customFormat="1" ht="18" outlineLevel="1" x14ac:dyDescent="0.2">
      <c r="B24" s="314" t="s">
        <v>527</v>
      </c>
      <c r="C24" s="315" t="str">
        <f>VLOOKUP(D24,Fontes!$A$6:$H$11629,8,FALSE)</f>
        <v>SBC / RJ</v>
      </c>
      <c r="D24" s="315">
        <v>12689</v>
      </c>
      <c r="E24" s="204" t="str">
        <f>VLOOKUP(D24,Fontes!$A$6:$H$11629,2,FALSE)</f>
        <v>Mobilização e desmobilização de canteiro de obras</v>
      </c>
      <c r="F24" s="203">
        <v>1</v>
      </c>
      <c r="G24" s="203" t="str">
        <f>VLOOKUP(D24,Fontes!$A$6:$L$11629,3,FALSE)</f>
        <v>un</v>
      </c>
      <c r="H24" s="203">
        <v>0</v>
      </c>
      <c r="I24" s="203">
        <v>6444.18</v>
      </c>
      <c r="J24" s="203">
        <v>0</v>
      </c>
      <c r="K24" s="316">
        <f t="shared" ref="K24:K40" si="5">ROUND(+H24+I24+J24,2)</f>
        <v>6444.18</v>
      </c>
      <c r="L24" s="317">
        <f t="shared" ref="L24:L40" si="6">ROUND(F24*K24,2)</f>
        <v>6444.18</v>
      </c>
      <c r="M24" s="318">
        <f t="shared" si="4"/>
        <v>2.33372916653984E-4</v>
      </c>
    </row>
    <row r="25" spans="2:13" s="313" customFormat="1" ht="18" outlineLevel="1" x14ac:dyDescent="0.2">
      <c r="B25" s="314" t="s">
        <v>528</v>
      </c>
      <c r="C25" s="315" t="str">
        <f>VLOOKUP(D25,Fontes!$A$6:$H$11629,8,FALSE)</f>
        <v>SBC / RJ</v>
      </c>
      <c r="D25" s="315">
        <v>12031</v>
      </c>
      <c r="E25" s="204" t="str">
        <f>VLOOKUP(D25,Fontes!$A$6:$H$11629,2,FALSE)</f>
        <v>Instalações provisórias de água, luz, força e esgoto</v>
      </c>
      <c r="F25" s="203">
        <v>1</v>
      </c>
      <c r="G25" s="203" t="str">
        <f>VLOOKUP(D25,Fontes!$A$6:$L$11629,3,FALSE)</f>
        <v>un</v>
      </c>
      <c r="H25" s="203">
        <v>5744.43</v>
      </c>
      <c r="I25" s="203">
        <v>2369.2799999999997</v>
      </c>
      <c r="J25" s="203">
        <v>0</v>
      </c>
      <c r="K25" s="316">
        <f t="shared" si="5"/>
        <v>8113.71</v>
      </c>
      <c r="L25" s="317">
        <f t="shared" si="6"/>
        <v>8113.71</v>
      </c>
      <c r="M25" s="318">
        <f t="shared" si="4"/>
        <v>2.9383415230248012E-4</v>
      </c>
    </row>
    <row r="26" spans="2:13" s="313" customFormat="1" ht="36" outlineLevel="1" x14ac:dyDescent="0.2">
      <c r="B26" s="314" t="s">
        <v>529</v>
      </c>
      <c r="C26" s="315" t="str">
        <f>VLOOKUP(D26,Fontes!$A$6:$H$11629,8,FALSE)</f>
        <v>SINAPI / RJ</v>
      </c>
      <c r="D26" s="315">
        <v>93243</v>
      </c>
      <c r="E26" s="204" t="str">
        <f>VLOOKUP(D26,Fontes!$A$6:$H$11629,2,FALSE)</f>
        <v>Execução de reservatório elevado de água (2000 litros) em canteiro de obra, apoiado em estrutura de madeira</v>
      </c>
      <c r="F26" s="203">
        <v>1</v>
      </c>
      <c r="G26" s="203" t="str">
        <f>VLOOKUP(D26,Fontes!$A$6:$L$11629,3,FALSE)</f>
        <v>un</v>
      </c>
      <c r="H26" s="203">
        <v>12565.554396</v>
      </c>
      <c r="I26" s="203">
        <v>626.19046100000003</v>
      </c>
      <c r="J26" s="203">
        <v>0.25642000000000004</v>
      </c>
      <c r="K26" s="316">
        <f t="shared" si="5"/>
        <v>13192</v>
      </c>
      <c r="L26" s="317">
        <f t="shared" si="6"/>
        <v>13192</v>
      </c>
      <c r="M26" s="318">
        <f t="shared" si="4"/>
        <v>4.7774201162899808E-4</v>
      </c>
    </row>
    <row r="27" spans="2:13" s="313" customFormat="1" ht="54" outlineLevel="1" x14ac:dyDescent="0.2">
      <c r="B27" s="314" t="s">
        <v>530</v>
      </c>
      <c r="C27" s="315" t="str">
        <f>VLOOKUP(D27,Fontes!$A$6:$H$11629,8,FALSE)</f>
        <v>Custo Mercado Reajustado</v>
      </c>
      <c r="D27" s="315" t="s">
        <v>144</v>
      </c>
      <c r="E27" s="204" t="str">
        <f>VLOOKUP(D27,Fontes!$A$6:$H$11629,2,FALSE)</f>
        <v>Locação de container escritório com isolamento térmico e sanitário</v>
      </c>
      <c r="F27" s="203">
        <f>2*($P$4-3)</f>
        <v>24</v>
      </c>
      <c r="G27" s="203" t="str">
        <f>VLOOKUP(D27,Fontes!$A$6:$L$11629,3,FALSE)</f>
        <v>un/mês</v>
      </c>
      <c r="H27" s="203">
        <v>0</v>
      </c>
      <c r="I27" s="203">
        <v>0</v>
      </c>
      <c r="J27" s="203">
        <v>1086.1951200000001</v>
      </c>
      <c r="K27" s="316">
        <f t="shared" si="5"/>
        <v>1086.2</v>
      </c>
      <c r="L27" s="317">
        <f t="shared" si="6"/>
        <v>26068.799999999999</v>
      </c>
      <c r="M27" s="318">
        <f t="shared" si="4"/>
        <v>9.4406920502986848E-4</v>
      </c>
    </row>
    <row r="28" spans="2:13" s="313" customFormat="1" ht="54" outlineLevel="1" x14ac:dyDescent="0.2">
      <c r="B28" s="314" t="s">
        <v>531</v>
      </c>
      <c r="C28" s="315" t="str">
        <f>VLOOKUP(D28,Fontes!$A$6:$H$11629,8,FALSE)</f>
        <v>Custo Mercado Reajustado</v>
      </c>
      <c r="D28" s="315" t="s">
        <v>145</v>
      </c>
      <c r="E28" s="204" t="str">
        <f>VLOOKUP(D28,Fontes!$A$6:$H$11629,2,FALSE)</f>
        <v>Locação de container refeitório com isolamento térmico</v>
      </c>
      <c r="F28" s="203">
        <f t="shared" ref="F28" si="7">2*($P$4-3)</f>
        <v>24</v>
      </c>
      <c r="G28" s="203" t="str">
        <f>VLOOKUP(D28,Fontes!$A$6:$L$11629,3,FALSE)</f>
        <v>un/mês</v>
      </c>
      <c r="H28" s="203">
        <v>0</v>
      </c>
      <c r="I28" s="203">
        <v>0</v>
      </c>
      <c r="J28" s="203">
        <v>1075.6819</v>
      </c>
      <c r="K28" s="316">
        <f t="shared" si="5"/>
        <v>1075.68</v>
      </c>
      <c r="L28" s="317">
        <f t="shared" si="6"/>
        <v>25816.32</v>
      </c>
      <c r="M28" s="318">
        <f t="shared" si="4"/>
        <v>9.3492576179941898E-4</v>
      </c>
    </row>
    <row r="29" spans="2:13" s="313" customFormat="1" ht="54" outlineLevel="1" x14ac:dyDescent="0.2">
      <c r="B29" s="314" t="s">
        <v>532</v>
      </c>
      <c r="C29" s="315" t="str">
        <f>VLOOKUP(D29,Fontes!$A$6:$H$11629,8,FALSE)</f>
        <v>Custo Mercado Reajustado</v>
      </c>
      <c r="D29" s="315" t="s">
        <v>146</v>
      </c>
      <c r="E29" s="204" t="str">
        <f>VLOOKUP(D29,Fontes!$A$6:$H$11629,2,FALSE)</f>
        <v>Locação de container almoxarifado</v>
      </c>
      <c r="F29" s="203">
        <f>2*($P$4)</f>
        <v>30</v>
      </c>
      <c r="G29" s="203" t="str">
        <f>VLOOKUP(D29,Fontes!$A$6:$L$11629,3,FALSE)</f>
        <v>un/mês</v>
      </c>
      <c r="H29" s="203">
        <v>0</v>
      </c>
      <c r="I29" s="203">
        <v>0</v>
      </c>
      <c r="J29" s="203">
        <v>790.09412499999996</v>
      </c>
      <c r="K29" s="316">
        <f t="shared" si="5"/>
        <v>790.09</v>
      </c>
      <c r="L29" s="317">
        <f t="shared" si="6"/>
        <v>23702.7</v>
      </c>
      <c r="M29" s="318">
        <f t="shared" si="4"/>
        <v>8.5838201781675662E-4</v>
      </c>
    </row>
    <row r="30" spans="2:13" s="313" customFormat="1" ht="54" outlineLevel="1" x14ac:dyDescent="0.2">
      <c r="B30" s="314" t="s">
        <v>533</v>
      </c>
      <c r="C30" s="315" t="str">
        <f>VLOOKUP(D30,Fontes!$A$6:$H$11629,8,FALSE)</f>
        <v>Custo Mercado Reajustado</v>
      </c>
      <c r="D30" s="315" t="s">
        <v>147</v>
      </c>
      <c r="E30" s="204" t="str">
        <f>VLOOKUP(D30,Fontes!$A$6:$H$11629,2,FALSE)</f>
        <v>Locação de container vestiário</v>
      </c>
      <c r="F30" s="203">
        <f>2*($P$4-3)</f>
        <v>24</v>
      </c>
      <c r="G30" s="203" t="str">
        <f>VLOOKUP(D30,Fontes!$A$6:$L$11629,3,FALSE)</f>
        <v>un/mês</v>
      </c>
      <c r="H30" s="203">
        <v>0</v>
      </c>
      <c r="I30" s="203">
        <v>0</v>
      </c>
      <c r="J30" s="203">
        <v>777.27312500000005</v>
      </c>
      <c r="K30" s="316">
        <f t="shared" si="5"/>
        <v>777.27</v>
      </c>
      <c r="L30" s="317">
        <f t="shared" si="6"/>
        <v>18654.48</v>
      </c>
      <c r="M30" s="318">
        <f t="shared" si="4"/>
        <v>6.7556312925203996E-4</v>
      </c>
    </row>
    <row r="31" spans="2:13" s="313" customFormat="1" ht="54" outlineLevel="1" x14ac:dyDescent="0.2">
      <c r="B31" s="314" t="s">
        <v>534</v>
      </c>
      <c r="C31" s="315" t="str">
        <f>VLOOKUP(D31,Fontes!$A$6:$H$11629,8,FALSE)</f>
        <v>Custo Mercado Reajustado</v>
      </c>
      <c r="D31" s="315" t="s">
        <v>148</v>
      </c>
      <c r="E31" s="204" t="str">
        <f>VLOOKUP(D31,Fontes!$A$6:$H$11629,2,FALSE)</f>
        <v>Locação de container sanitário com seis chuveiros, um mictório, três vasos sanitários e três lavatórios</v>
      </c>
      <c r="F31" s="203">
        <f>2*($P$4-3)</f>
        <v>24</v>
      </c>
      <c r="G31" s="203" t="str">
        <f>VLOOKUP(D31,Fontes!$A$6:$L$11629,3,FALSE)</f>
        <v>un/mês</v>
      </c>
      <c r="H31" s="203">
        <v>0</v>
      </c>
      <c r="I31" s="203">
        <v>0</v>
      </c>
      <c r="J31" s="203">
        <v>1337.2302999999999</v>
      </c>
      <c r="K31" s="316">
        <f t="shared" si="5"/>
        <v>1337.23</v>
      </c>
      <c r="L31" s="317">
        <f t="shared" si="6"/>
        <v>32093.52</v>
      </c>
      <c r="M31" s="318">
        <f t="shared" si="4"/>
        <v>1.1622515770963828E-3</v>
      </c>
    </row>
    <row r="32" spans="2:13" s="313" customFormat="1" ht="54" outlineLevel="1" x14ac:dyDescent="0.2">
      <c r="B32" s="314" t="s">
        <v>535</v>
      </c>
      <c r="C32" s="315" t="str">
        <f>VLOOKUP(D32,Fontes!$A$6:$H$11629,8,FALSE)</f>
        <v>Custo Mercado Reajustado</v>
      </c>
      <c r="D32" s="315" t="s">
        <v>150</v>
      </c>
      <c r="E32" s="204" t="str">
        <f>VLOOKUP(D32,Fontes!$A$6:$H$11629,2,FALSE)</f>
        <v>Taxa de entrega para container</v>
      </c>
      <c r="F32" s="203">
        <v>10</v>
      </c>
      <c r="G32" s="203" t="str">
        <f>VLOOKUP(D32,Fontes!$A$6:$L$11629,3,FALSE)</f>
        <v>un</v>
      </c>
      <c r="H32" s="203">
        <v>0</v>
      </c>
      <c r="I32" s="203">
        <v>0</v>
      </c>
      <c r="J32" s="203">
        <v>1048.7578000000001</v>
      </c>
      <c r="K32" s="316">
        <f t="shared" si="5"/>
        <v>1048.76</v>
      </c>
      <c r="L32" s="317">
        <f t="shared" si="6"/>
        <v>10487.6</v>
      </c>
      <c r="M32" s="318">
        <f t="shared" si="4"/>
        <v>3.7980345066406006E-4</v>
      </c>
    </row>
    <row r="33" spans="2:13" s="313" customFormat="1" ht="54" outlineLevel="1" x14ac:dyDescent="0.2">
      <c r="B33" s="314" t="s">
        <v>536</v>
      </c>
      <c r="C33" s="315" t="str">
        <f>VLOOKUP(D33,Fontes!$A$6:$H$11629,8,FALSE)</f>
        <v>Custo Mercado Reajustado</v>
      </c>
      <c r="D33" s="315" t="s">
        <v>151</v>
      </c>
      <c r="E33" s="204" t="str">
        <f>VLOOKUP(D33,Fontes!$A$6:$H$11629,2,FALSE)</f>
        <v>Taxa de retirada para container</v>
      </c>
      <c r="F33" s="203">
        <v>10</v>
      </c>
      <c r="G33" s="203" t="str">
        <f>VLOOKUP(D33,Fontes!$A$6:$L$11629,3,FALSE)</f>
        <v>un</v>
      </c>
      <c r="H33" s="203">
        <v>0</v>
      </c>
      <c r="I33" s="203">
        <v>0</v>
      </c>
      <c r="J33" s="203">
        <v>1048.7578000000001</v>
      </c>
      <c r="K33" s="316">
        <f t="shared" si="5"/>
        <v>1048.76</v>
      </c>
      <c r="L33" s="317">
        <f t="shared" si="6"/>
        <v>10487.6</v>
      </c>
      <c r="M33" s="318">
        <f t="shared" si="4"/>
        <v>3.7980345066406006E-4</v>
      </c>
    </row>
    <row r="34" spans="2:13" s="313" customFormat="1" ht="54" outlineLevel="1" x14ac:dyDescent="0.2">
      <c r="B34" s="314" t="s">
        <v>537</v>
      </c>
      <c r="C34" s="315" t="str">
        <f>VLOOKUP(D34,Fontes!$A$6:$H$11629,8,FALSE)</f>
        <v>Custo Mercado Reajustado</v>
      </c>
      <c r="D34" s="315" t="s">
        <v>149</v>
      </c>
      <c r="E34" s="204" t="str">
        <f>VLOOKUP(D34,Fontes!$A$6:$H$11629,2,FALSE)</f>
        <v>Locação de aparelho de ar condicionado de janela 17.500 BTUs para container</v>
      </c>
      <c r="F34" s="203">
        <f>F27</f>
        <v>24</v>
      </c>
      <c r="G34" s="203" t="str">
        <f>VLOOKUP(D34,Fontes!$A$6:$L$11629,3,FALSE)</f>
        <v>un/mês</v>
      </c>
      <c r="H34" s="203">
        <v>0</v>
      </c>
      <c r="I34" s="203">
        <v>0</v>
      </c>
      <c r="J34" s="203">
        <v>380.35633333333334</v>
      </c>
      <c r="K34" s="316">
        <f t="shared" si="5"/>
        <v>380.36</v>
      </c>
      <c r="L34" s="317">
        <f t="shared" si="6"/>
        <v>9128.64</v>
      </c>
      <c r="M34" s="318">
        <f t="shared" si="4"/>
        <v>3.3058935999370352E-4</v>
      </c>
    </row>
    <row r="35" spans="2:13" s="313" customFormat="1" ht="36" outlineLevel="1" x14ac:dyDescent="0.2">
      <c r="B35" s="314" t="s">
        <v>538</v>
      </c>
      <c r="C35" s="315" t="str">
        <f>VLOOKUP(D35,Fontes!$A$6:$H$11629,8,FALSE)</f>
        <v>SINAPI / RJ</v>
      </c>
      <c r="D35" s="315">
        <v>93582</v>
      </c>
      <c r="E35" s="204" t="str">
        <f>VLOOKUP(D35,Fontes!$A$6:$H$11629,2,FALSE)</f>
        <v>Execução de central de armadura em canteiro de obra, não incluso mobiliário e equipamentos</v>
      </c>
      <c r="F35" s="203">
        <v>25</v>
      </c>
      <c r="G35" s="203" t="str">
        <f>VLOOKUP(D35,Fontes!$A$6:$L$11629,3,FALSE)</f>
        <v>m2</v>
      </c>
      <c r="H35" s="203">
        <v>307.58861100000001</v>
      </c>
      <c r="I35" s="203">
        <v>73.874601999999996</v>
      </c>
      <c r="J35" s="203">
        <v>0.29488300000000001</v>
      </c>
      <c r="K35" s="316">
        <f t="shared" si="5"/>
        <v>381.76</v>
      </c>
      <c r="L35" s="317">
        <f t="shared" si="6"/>
        <v>9544</v>
      </c>
      <c r="M35" s="318">
        <f t="shared" si="4"/>
        <v>3.4563142502934792E-4</v>
      </c>
    </row>
    <row r="36" spans="2:13" s="313" customFormat="1" ht="54" outlineLevel="1" x14ac:dyDescent="0.2">
      <c r="B36" s="314" t="s">
        <v>539</v>
      </c>
      <c r="C36" s="315" t="str">
        <f>VLOOKUP(D36,Fontes!$A$6:$H$11629,8,FALSE)</f>
        <v>SINAPI / RJ</v>
      </c>
      <c r="D36" s="315">
        <v>93583</v>
      </c>
      <c r="E36" s="204" t="str">
        <f>VLOOKUP(D36,Fontes!$A$6:$H$11629,2,FALSE)</f>
        <v>Execução de central de fôrmas, produção de argamassa ou concreto em canteiro de obra, não incluso mobiliário e equipamentos</v>
      </c>
      <c r="F36" s="203">
        <v>15</v>
      </c>
      <c r="G36" s="203" t="str">
        <f>VLOOKUP(D36,Fontes!$A$6:$L$11629,3,FALSE)</f>
        <v>m2</v>
      </c>
      <c r="H36" s="203">
        <v>492.89052400000003</v>
      </c>
      <c r="I36" s="203">
        <v>122.40208699999999</v>
      </c>
      <c r="J36" s="203">
        <v>0.50001899999999999</v>
      </c>
      <c r="K36" s="316">
        <f t="shared" si="5"/>
        <v>615.79</v>
      </c>
      <c r="L36" s="317">
        <f t="shared" si="6"/>
        <v>9236.85</v>
      </c>
      <c r="M36" s="318">
        <f t="shared" si="4"/>
        <v>3.3450813372614546E-4</v>
      </c>
    </row>
    <row r="37" spans="2:13" s="313" customFormat="1" ht="36" outlineLevel="1" x14ac:dyDescent="0.2">
      <c r="B37" s="314" t="s">
        <v>540</v>
      </c>
      <c r="C37" s="315" t="str">
        <f>VLOOKUP(D37,Fontes!$A$6:$H$11629,8,FALSE)</f>
        <v>SINAPI / RJ</v>
      </c>
      <c r="D37" s="315">
        <v>93584</v>
      </c>
      <c r="E37" s="204" t="str">
        <f>VLOOKUP(D37,Fontes!$A$6:$H$11629,2,FALSE)</f>
        <v>Execução de depósito em canteiro de obra em chapa de madeira compensada, não incluso mobiliário</v>
      </c>
      <c r="F37" s="203">
        <v>32</v>
      </c>
      <c r="G37" s="203" t="str">
        <f>VLOOKUP(D37,Fontes!$A$6:$L$11629,3,FALSE)</f>
        <v>m2</v>
      </c>
      <c r="H37" s="203">
        <v>999.3200240000001</v>
      </c>
      <c r="I37" s="203">
        <v>232.18831</v>
      </c>
      <c r="J37" s="203">
        <v>0.41027200000000003</v>
      </c>
      <c r="K37" s="316">
        <f t="shared" si="5"/>
        <v>1231.92</v>
      </c>
      <c r="L37" s="317">
        <f t="shared" si="6"/>
        <v>39421.440000000002</v>
      </c>
      <c r="M37" s="318">
        <f t="shared" si="4"/>
        <v>1.4276287179284303E-3</v>
      </c>
    </row>
    <row r="38" spans="2:13" s="313" customFormat="1" ht="36" outlineLevel="1" x14ac:dyDescent="0.2">
      <c r="B38" s="314" t="s">
        <v>541</v>
      </c>
      <c r="C38" s="315" t="str">
        <f>VLOOKUP(D38,Fontes!$A$6:$H$11629,8,FALSE)</f>
        <v>SINAPI / RJ</v>
      </c>
      <c r="D38" s="315">
        <v>93585</v>
      </c>
      <c r="E38" s="204" t="str">
        <f>VLOOKUP(D38,Fontes!$A$6:$H$11629,2,FALSE)</f>
        <v>Execução de guarita em canteiro de obra em chapa de madeira compensada, não incluso mobiliário</v>
      </c>
      <c r="F38" s="203">
        <v>2.25</v>
      </c>
      <c r="G38" s="203" t="str">
        <f>VLOOKUP(D38,Fontes!$A$6:$L$11629,3,FALSE)</f>
        <v>m2</v>
      </c>
      <c r="H38" s="203">
        <v>1395.1042940000002</v>
      </c>
      <c r="I38" s="203">
        <v>274.54889399999996</v>
      </c>
      <c r="J38" s="203">
        <v>0.28206199999999998</v>
      </c>
      <c r="K38" s="316">
        <f t="shared" si="5"/>
        <v>1669.94</v>
      </c>
      <c r="L38" s="317">
        <f t="shared" si="6"/>
        <v>3757.37</v>
      </c>
      <c r="M38" s="318">
        <f t="shared" si="4"/>
        <v>1.3607136918090119E-4</v>
      </c>
    </row>
    <row r="39" spans="2:13" s="313" customFormat="1" ht="18" outlineLevel="1" x14ac:dyDescent="0.2">
      <c r="B39" s="314" t="s">
        <v>542</v>
      </c>
      <c r="C39" s="315" t="str">
        <f>VLOOKUP(D39,Fontes!$A$6:$H$11629,8,FALSE)</f>
        <v>SINAPI / RJ</v>
      </c>
      <c r="D39" s="315">
        <v>98459</v>
      </c>
      <c r="E39" s="204" t="str">
        <f>VLOOKUP(D39,Fontes!$A$6:$H$11629,2,FALSE)</f>
        <v>Tapume com telha metálica</v>
      </c>
      <c r="F39" s="203">
        <v>320.8</v>
      </c>
      <c r="G39" s="203" t="str">
        <f>VLOOKUP(D39,Fontes!$A$6:$L$11629,3,FALSE)</f>
        <v>m2</v>
      </c>
      <c r="H39" s="203">
        <v>85.253720787207882</v>
      </c>
      <c r="I39" s="203">
        <v>12.626279212792131</v>
      </c>
      <c r="J39" s="203">
        <v>0</v>
      </c>
      <c r="K39" s="316">
        <f t="shared" si="5"/>
        <v>97.88</v>
      </c>
      <c r="L39" s="317">
        <f t="shared" si="6"/>
        <v>31399.9</v>
      </c>
      <c r="M39" s="318">
        <f t="shared" si="4"/>
        <v>1.1371324583800315E-3</v>
      </c>
    </row>
    <row r="40" spans="2:13" s="313" customFormat="1" ht="18" outlineLevel="1" x14ac:dyDescent="0.2">
      <c r="B40" s="314" t="s">
        <v>543</v>
      </c>
      <c r="C40" s="315" t="str">
        <f>VLOOKUP(D40,Fontes!$A$6:$H$11629,8,FALSE)</f>
        <v>SBC / RJ</v>
      </c>
      <c r="D40" s="315">
        <v>12661</v>
      </c>
      <c r="E40" s="204" t="str">
        <f>VLOOKUP(D40,Fontes!$A$6:$H$11629,2,FALSE)</f>
        <v>Placa de obra em chapa galvanizada #26, 3,00 x 1,50 m</v>
      </c>
      <c r="F40" s="203">
        <v>1</v>
      </c>
      <c r="G40" s="203" t="str">
        <f>VLOOKUP(D40,Fontes!$A$6:$L$11629,3,FALSE)</f>
        <v>un</v>
      </c>
      <c r="H40" s="203">
        <v>390.37999999999988</v>
      </c>
      <c r="I40" s="203">
        <v>1081.3800000000001</v>
      </c>
      <c r="J40" s="203">
        <v>0</v>
      </c>
      <c r="K40" s="316">
        <f t="shared" si="5"/>
        <v>1471.76</v>
      </c>
      <c r="L40" s="317">
        <f t="shared" si="6"/>
        <v>1471.76</v>
      </c>
      <c r="M40" s="318">
        <f t="shared" si="4"/>
        <v>5.3299089071793072E-5</v>
      </c>
    </row>
    <row r="41" spans="2:13" s="313" customFormat="1" ht="18" outlineLevel="1" x14ac:dyDescent="0.2">
      <c r="B41" s="314" t="s">
        <v>544</v>
      </c>
      <c r="C41" s="315" t="str">
        <f>VLOOKUP(D41,Fontes!$A$6:$H$11629,8,FALSE)</f>
        <v>SBC / RJ</v>
      </c>
      <c r="D41" s="315">
        <v>12710</v>
      </c>
      <c r="E41" s="204" t="str">
        <f>VLOOKUP(D41,Fontes!$A$6:$H$11629,2,FALSE)</f>
        <v>Despesas gerais de manutenção do canteiro de obras</v>
      </c>
      <c r="F41" s="203">
        <f>P4-3</f>
        <v>12</v>
      </c>
      <c r="G41" s="203" t="str">
        <f>VLOOKUP(D41,Fontes!$A$6:$L$11629,3,FALSE)</f>
        <v>mês</v>
      </c>
      <c r="H41" s="203">
        <v>1925.91</v>
      </c>
      <c r="I41" s="203">
        <v>0</v>
      </c>
      <c r="J41" s="203">
        <v>0</v>
      </c>
      <c r="K41" s="316">
        <f>ROUND(+H41+I41+J41,2)</f>
        <v>1925.91</v>
      </c>
      <c r="L41" s="317">
        <f>ROUND(F41*K41,2)</f>
        <v>23110.92</v>
      </c>
      <c r="M41" s="318">
        <f t="shared" si="4"/>
        <v>8.3695098630964544E-4</v>
      </c>
    </row>
    <row r="42" spans="2:13" s="313" customFormat="1" ht="18" outlineLevel="1" x14ac:dyDescent="0.2">
      <c r="B42" s="314" t="s">
        <v>528</v>
      </c>
      <c r="C42" s="315"/>
      <c r="D42" s="315"/>
      <c r="E42" s="319" t="s">
        <v>173</v>
      </c>
      <c r="F42" s="203"/>
      <c r="G42" s="203"/>
      <c r="H42" s="203"/>
      <c r="I42" s="203"/>
      <c r="J42" s="203"/>
      <c r="K42" s="316"/>
      <c r="L42" s="317"/>
      <c r="M42" s="318">
        <f t="shared" si="4"/>
        <v>0</v>
      </c>
    </row>
    <row r="43" spans="2:13" s="313" customFormat="1" ht="18" outlineLevel="1" x14ac:dyDescent="0.2">
      <c r="B43" s="314" t="s">
        <v>1977</v>
      </c>
      <c r="C43" s="315" t="str">
        <f>VLOOKUP(D43,Fontes!$A$6:$H$11629,8,FALSE)</f>
        <v>FACC</v>
      </c>
      <c r="D43" s="315" t="s">
        <v>1292</v>
      </c>
      <c r="E43" s="204" t="str">
        <f>VLOOKUP(D43,Fontes!$A$6:$H$11629,2,FALSE)</f>
        <v>Retroescavadeira para apoio na obra</v>
      </c>
      <c r="F43" s="203">
        <v>6</v>
      </c>
      <c r="G43" s="203" t="str">
        <f>VLOOKUP(D43,Fontes!$A$6:$L$11629,3,FALSE)</f>
        <v>mês</v>
      </c>
      <c r="H43" s="203">
        <v>10320.75</v>
      </c>
      <c r="I43" s="203">
        <v>7713.86</v>
      </c>
      <c r="J43" s="203">
        <v>17949.400000000001</v>
      </c>
      <c r="K43" s="316">
        <f t="shared" ref="K43:K45" si="8">ROUND(+H43+I43+J43,2)</f>
        <v>35984.01</v>
      </c>
      <c r="L43" s="317">
        <f t="shared" ref="L43:L45" si="9">ROUND(F43*K43,2)</f>
        <v>215904.06</v>
      </c>
      <c r="M43" s="318">
        <f t="shared" si="4"/>
        <v>7.8188629429402582E-3</v>
      </c>
    </row>
    <row r="44" spans="2:13" s="313" customFormat="1" ht="18" outlineLevel="1" x14ac:dyDescent="0.2">
      <c r="B44" s="314" t="s">
        <v>1978</v>
      </c>
      <c r="C44" s="315" t="str">
        <f>VLOOKUP(D44,Fontes!$A$6:$H$11629,8,FALSE)</f>
        <v>SBC / RJ</v>
      </c>
      <c r="D44" s="315">
        <v>210500</v>
      </c>
      <c r="E44" s="204" t="str">
        <f>VLOOKUP(D44,Fontes!$A$6:$H$11629,2,FALSE)</f>
        <v>Locação de caçamba para entulho gerado durante a obra</v>
      </c>
      <c r="F44" s="203">
        <f>4*($P$4-1)</f>
        <v>56</v>
      </c>
      <c r="G44" s="203" t="str">
        <f>VLOOKUP(D44,Fontes!$A$6:$L$11629,3,FALSE)</f>
        <v>un</v>
      </c>
      <c r="H44" s="203">
        <v>0</v>
      </c>
      <c r="I44" s="203">
        <v>0</v>
      </c>
      <c r="J44" s="203">
        <v>370</v>
      </c>
      <c r="K44" s="316">
        <f t="shared" si="8"/>
        <v>370</v>
      </c>
      <c r="L44" s="317">
        <f t="shared" si="9"/>
        <v>20720</v>
      </c>
      <c r="M44" s="318">
        <f t="shared" si="4"/>
        <v>7.5036495459011822E-4</v>
      </c>
    </row>
    <row r="45" spans="2:13" s="313" customFormat="1" ht="36" outlineLevel="1" x14ac:dyDescent="0.2">
      <c r="B45" s="314" t="s">
        <v>1979</v>
      </c>
      <c r="C45" s="315" t="str">
        <f>VLOOKUP(D45,Fontes!$A$6:$H$11629,8,FALSE)</f>
        <v>INSUMO SINAPI</v>
      </c>
      <c r="D45" s="315" t="s">
        <v>1155</v>
      </c>
      <c r="E45" s="204" t="s">
        <v>268</v>
      </c>
      <c r="F45" s="203">
        <v>2</v>
      </c>
      <c r="G45" s="203" t="str">
        <f>VLOOKUP(D45,Fontes!$A$6:$L$11629,3,FALSE)</f>
        <v>un</v>
      </c>
      <c r="H45" s="203">
        <v>1081.3399999999999</v>
      </c>
      <c r="I45" s="203">
        <v>0</v>
      </c>
      <c r="J45" s="203">
        <v>0</v>
      </c>
      <c r="K45" s="316">
        <f t="shared" si="8"/>
        <v>1081.3399999999999</v>
      </c>
      <c r="L45" s="317">
        <f t="shared" si="9"/>
        <v>2162.6799999999998</v>
      </c>
      <c r="M45" s="318">
        <f t="shared" si="4"/>
        <v>7.8320428571088647E-5</v>
      </c>
    </row>
    <row r="46" spans="2:13" s="313" customFormat="1" ht="18" outlineLevel="1" x14ac:dyDescent="0.2">
      <c r="B46" s="314" t="s">
        <v>529</v>
      </c>
      <c r="C46" s="315"/>
      <c r="D46" s="315"/>
      <c r="E46" s="319" t="s">
        <v>175</v>
      </c>
      <c r="F46" s="203"/>
      <c r="G46" s="203"/>
      <c r="H46" s="203"/>
      <c r="I46" s="203"/>
      <c r="J46" s="203"/>
      <c r="K46" s="316"/>
      <c r="L46" s="317"/>
      <c r="M46" s="318">
        <f t="shared" si="4"/>
        <v>0</v>
      </c>
    </row>
    <row r="47" spans="2:13" s="313" customFormat="1" ht="36" outlineLevel="1" x14ac:dyDescent="0.2">
      <c r="B47" s="314" t="s">
        <v>1976</v>
      </c>
      <c r="C47" s="315" t="str">
        <f>VLOOKUP(D47,Fontes!$A$6:$H$11629,8,FALSE)</f>
        <v>FACC</v>
      </c>
      <c r="D47" s="315" t="s">
        <v>132</v>
      </c>
      <c r="E47" s="204" t="str">
        <f>VLOOKUP(D47,Fontes!$A$6:$H$11629,2,FALSE)</f>
        <v>Projeto de implementação de gerenciamento integrado de resíduos sólidos e gestão de perdas</v>
      </c>
      <c r="F47" s="203">
        <v>1</v>
      </c>
      <c r="G47" s="203" t="str">
        <f>VLOOKUP(D47,Fontes!$A$6:$L$11629,3,FALSE)</f>
        <v>un</v>
      </c>
      <c r="H47" s="203">
        <v>196.55</v>
      </c>
      <c r="I47" s="203">
        <v>5490.01</v>
      </c>
      <c r="J47" s="203">
        <v>0</v>
      </c>
      <c r="K47" s="316">
        <f>ROUND(+H47+I47+J47,2)</f>
        <v>5686.56</v>
      </c>
      <c r="L47" s="317">
        <f>ROUND(F47*K47,2)</f>
        <v>5686.56</v>
      </c>
      <c r="M47" s="318">
        <f t="shared" si="4"/>
        <v>2.059360683481652E-4</v>
      </c>
    </row>
    <row r="48" spans="2:13" s="109" customFormat="1" ht="18" outlineLevel="1" x14ac:dyDescent="0.2">
      <c r="B48" s="114"/>
      <c r="C48" s="115"/>
      <c r="D48" s="115"/>
      <c r="E48" s="116"/>
      <c r="F48" s="117"/>
      <c r="G48" s="117"/>
      <c r="H48" s="117"/>
      <c r="I48" s="117"/>
      <c r="J48" s="117"/>
      <c r="K48" s="118"/>
      <c r="L48" s="119"/>
      <c r="M48" s="120">
        <f t="shared" si="4"/>
        <v>0</v>
      </c>
    </row>
    <row r="49" spans="2:13" s="109" customFormat="1" ht="18" outlineLevel="1" x14ac:dyDescent="0.2">
      <c r="B49" s="114"/>
      <c r="C49" s="115"/>
      <c r="D49" s="115"/>
      <c r="E49" s="116"/>
      <c r="F49" s="117"/>
      <c r="G49" s="117"/>
      <c r="H49" s="117"/>
      <c r="I49" s="117"/>
      <c r="J49" s="117"/>
      <c r="K49" s="118"/>
      <c r="L49" s="119"/>
      <c r="M49" s="120">
        <f t="shared" si="4"/>
        <v>0</v>
      </c>
    </row>
    <row r="50" spans="2:13" s="109" customFormat="1" ht="25.5" customHeight="1" outlineLevel="1" x14ac:dyDescent="0.2">
      <c r="B50" s="206">
        <v>3</v>
      </c>
      <c r="C50" s="207"/>
      <c r="D50" s="207"/>
      <c r="E50" s="309" t="s">
        <v>176</v>
      </c>
      <c r="F50" s="209"/>
      <c r="G50" s="205"/>
      <c r="H50" s="210"/>
      <c r="I50" s="210"/>
      <c r="J50" s="209"/>
      <c r="K50" s="209"/>
      <c r="L50" s="211">
        <f>SUBTOTAL(9,L51:L61)</f>
        <v>562479.79999999993</v>
      </c>
      <c r="M50" s="212">
        <f t="shared" si="4"/>
        <v>2.0369938686527932E-2</v>
      </c>
    </row>
    <row r="51" spans="2:13" s="313" customFormat="1" ht="18" outlineLevel="1" x14ac:dyDescent="0.2">
      <c r="B51" s="314" t="s">
        <v>249</v>
      </c>
      <c r="C51" s="315" t="str">
        <f>VLOOKUP(D51,Fontes!$A$6:$H$11629,8,FALSE)</f>
        <v>Estimativa</v>
      </c>
      <c r="D51" s="315" t="s">
        <v>1826</v>
      </c>
      <c r="E51" s="204" t="str">
        <f>VLOOKUP(D51,Fontes!$A$6:$H$11629,2,FALSE)</f>
        <v>Demolição do edifício E</v>
      </c>
      <c r="F51" s="203">
        <v>1</v>
      </c>
      <c r="G51" s="203" t="str">
        <f>VLOOKUP(D51,Fontes!$A$6:$L$11629,3,FALSE)</f>
        <v>un</v>
      </c>
      <c r="H51" s="203">
        <v>0</v>
      </c>
      <c r="I51" s="203">
        <v>28308.768</v>
      </c>
      <c r="J51" s="203">
        <v>0</v>
      </c>
      <c r="K51" s="316">
        <f t="shared" ref="K51:K61" si="10">ROUND(+H51+I51+J51,2)</f>
        <v>28308.77</v>
      </c>
      <c r="L51" s="317">
        <f t="shared" ref="L51:L61" si="11">ROUND(F51*K51,2)</f>
        <v>28308.77</v>
      </c>
      <c r="M51" s="318">
        <f t="shared" si="4"/>
        <v>1.0251886542254876E-3</v>
      </c>
    </row>
    <row r="52" spans="2:13" s="313" customFormat="1" ht="18" outlineLevel="1" x14ac:dyDescent="0.2">
      <c r="B52" s="314" t="s">
        <v>546</v>
      </c>
      <c r="C52" s="315" t="str">
        <f>VLOOKUP(D52,Fontes!$A$6:$H$11629,8,FALSE)</f>
        <v>Estimativa</v>
      </c>
      <c r="D52" s="315" t="s">
        <v>1827</v>
      </c>
      <c r="E52" s="204" t="str">
        <f>VLOOKUP(D52,Fontes!$A$6:$H$11629,2,FALSE)</f>
        <v>Demolição do edifício F</v>
      </c>
      <c r="F52" s="203">
        <v>1</v>
      </c>
      <c r="G52" s="203" t="str">
        <f>VLOOKUP(D52,Fontes!$A$6:$L$11629,3,FALSE)</f>
        <v>un</v>
      </c>
      <c r="H52" s="203">
        <v>0</v>
      </c>
      <c r="I52" s="203">
        <v>9519.5925000000007</v>
      </c>
      <c r="J52" s="203">
        <v>0</v>
      </c>
      <c r="K52" s="316">
        <f t="shared" si="10"/>
        <v>9519.59</v>
      </c>
      <c r="L52" s="317">
        <f t="shared" si="11"/>
        <v>9519.59</v>
      </c>
      <c r="M52" s="318">
        <f t="shared" si="4"/>
        <v>3.4474742847811503E-4</v>
      </c>
    </row>
    <row r="53" spans="2:13" s="313" customFormat="1" ht="18" outlineLevel="1" x14ac:dyDescent="0.2">
      <c r="B53" s="314" t="s">
        <v>547</v>
      </c>
      <c r="C53" s="315" t="str">
        <f>VLOOKUP(D53,Fontes!$A$6:$H$11629,8,FALSE)</f>
        <v>Estimativa</v>
      </c>
      <c r="D53" s="315" t="s">
        <v>1837</v>
      </c>
      <c r="E53" s="204" t="str">
        <f>VLOOKUP(D53,Fontes!$A$6:$H$11629,2,FALSE)</f>
        <v>Demolição do edifício G</v>
      </c>
      <c r="F53" s="203">
        <v>1</v>
      </c>
      <c r="G53" s="203" t="str">
        <f>VLOOKUP(D53,Fontes!$A$6:$L$11629,3,FALSE)</f>
        <v>un</v>
      </c>
      <c r="H53" s="203">
        <v>0</v>
      </c>
      <c r="I53" s="203">
        <v>103119.303</v>
      </c>
      <c r="J53" s="203">
        <v>0</v>
      </c>
      <c r="K53" s="316">
        <f t="shared" si="10"/>
        <v>103119.3</v>
      </c>
      <c r="L53" s="317">
        <f t="shared" si="11"/>
        <v>103119.3</v>
      </c>
      <c r="M53" s="318">
        <f t="shared" si="4"/>
        <v>3.7344164508622E-3</v>
      </c>
    </row>
    <row r="54" spans="2:13" s="313" customFormat="1" ht="18" outlineLevel="1" x14ac:dyDescent="0.2">
      <c r="B54" s="314" t="s">
        <v>548</v>
      </c>
      <c r="C54" s="315" t="str">
        <f>VLOOKUP(D54,Fontes!$A$6:$H$11629,8,FALSE)</f>
        <v>Estimativa</v>
      </c>
      <c r="D54" s="315" t="s">
        <v>1838</v>
      </c>
      <c r="E54" s="204" t="str">
        <f>VLOOKUP(D54,Fontes!$A$6:$H$11629,2,FALSE)</f>
        <v>Demolição do edifício H</v>
      </c>
      <c r="F54" s="203">
        <v>1</v>
      </c>
      <c r="G54" s="203" t="str">
        <f>VLOOKUP(D54,Fontes!$A$6:$L$11629,3,FALSE)</f>
        <v>un</v>
      </c>
      <c r="H54" s="203">
        <v>0</v>
      </c>
      <c r="I54" s="203">
        <v>55809.813000000002</v>
      </c>
      <c r="J54" s="203">
        <v>0</v>
      </c>
      <c r="K54" s="316">
        <f t="shared" si="10"/>
        <v>55809.81</v>
      </c>
      <c r="L54" s="317">
        <f t="shared" si="11"/>
        <v>55809.81</v>
      </c>
      <c r="M54" s="318">
        <f t="shared" ref="M54:M85" si="12">+L54/$L$851</f>
        <v>2.0211257503056526E-3</v>
      </c>
    </row>
    <row r="55" spans="2:13" s="313" customFormat="1" ht="18" outlineLevel="1" x14ac:dyDescent="0.2">
      <c r="B55" s="314" t="s">
        <v>549</v>
      </c>
      <c r="C55" s="315" t="str">
        <f>VLOOKUP(D55,Fontes!$A$6:$H$11629,8,FALSE)</f>
        <v>Estimativa</v>
      </c>
      <c r="D55" s="315" t="s">
        <v>1839</v>
      </c>
      <c r="E55" s="204" t="str">
        <f>VLOOKUP(D55,Fontes!$A$6:$H$11629,2,FALSE)</f>
        <v>Demolição do edifício I</v>
      </c>
      <c r="F55" s="203">
        <v>1</v>
      </c>
      <c r="G55" s="203" t="str">
        <f>VLOOKUP(D55,Fontes!$A$6:$L$11629,3,FALSE)</f>
        <v>un</v>
      </c>
      <c r="H55" s="203">
        <v>0</v>
      </c>
      <c r="I55" s="203">
        <v>105580.935</v>
      </c>
      <c r="J55" s="203">
        <v>0</v>
      </c>
      <c r="K55" s="316">
        <f t="shared" si="10"/>
        <v>105580.94</v>
      </c>
      <c r="L55" s="317">
        <f t="shared" si="11"/>
        <v>105580.94</v>
      </c>
      <c r="M55" s="318">
        <f t="shared" si="12"/>
        <v>3.8235635737780887E-3</v>
      </c>
    </row>
    <row r="56" spans="2:13" s="313" customFormat="1" ht="18" outlineLevel="1" x14ac:dyDescent="0.2">
      <c r="B56" s="314" t="s">
        <v>550</v>
      </c>
      <c r="C56" s="315" t="str">
        <f>VLOOKUP(D56,Fontes!$A$6:$H$11629,8,FALSE)</f>
        <v>Estimativa</v>
      </c>
      <c r="D56" s="315" t="s">
        <v>1840</v>
      </c>
      <c r="E56" s="204" t="str">
        <f>VLOOKUP(D56,Fontes!$A$6:$H$11629,2,FALSE)</f>
        <v>Demolição do edifício J</v>
      </c>
      <c r="F56" s="203">
        <v>1</v>
      </c>
      <c r="G56" s="203" t="str">
        <f>VLOOKUP(D56,Fontes!$A$6:$L$11629,3,FALSE)</f>
        <v>un</v>
      </c>
      <c r="H56" s="203">
        <v>0</v>
      </c>
      <c r="I56" s="203">
        <v>131758.85279999999</v>
      </c>
      <c r="J56" s="203">
        <v>0</v>
      </c>
      <c r="K56" s="316">
        <f t="shared" si="10"/>
        <v>131758.85</v>
      </c>
      <c r="L56" s="317">
        <f t="shared" si="11"/>
        <v>131758.85</v>
      </c>
      <c r="M56" s="318">
        <f t="shared" si="12"/>
        <v>4.7715841456127516E-3</v>
      </c>
    </row>
    <row r="57" spans="2:13" s="313" customFormat="1" ht="25.5" customHeight="1" outlineLevel="1" x14ac:dyDescent="0.2">
      <c r="B57" s="314" t="s">
        <v>551</v>
      </c>
      <c r="C57" s="315" t="str">
        <f>VLOOKUP(D57,Fontes!$A$6:$H$11629,8,FALSE)</f>
        <v>Estimativa</v>
      </c>
      <c r="D57" s="315" t="s">
        <v>1841</v>
      </c>
      <c r="E57" s="204" t="str">
        <f>VLOOKUP(D57,Fontes!$A$6:$H$11629,2,FALSE)</f>
        <v>Demolição de quadra de esportes</v>
      </c>
      <c r="F57" s="203">
        <v>1</v>
      </c>
      <c r="G57" s="203" t="str">
        <f>VLOOKUP(D57,Fontes!$A$6:$L$11629,3,FALSE)</f>
        <v>un</v>
      </c>
      <c r="H57" s="203">
        <v>0</v>
      </c>
      <c r="I57" s="203">
        <v>71797.600000000006</v>
      </c>
      <c r="J57" s="203">
        <v>0</v>
      </c>
      <c r="K57" s="316">
        <f t="shared" si="10"/>
        <v>71797.600000000006</v>
      </c>
      <c r="L57" s="317">
        <f t="shared" si="11"/>
        <v>71797.600000000006</v>
      </c>
      <c r="M57" s="318">
        <f t="shared" si="12"/>
        <v>2.6001159683242993E-3</v>
      </c>
    </row>
    <row r="58" spans="2:13" s="313" customFormat="1" ht="25.5" customHeight="1" outlineLevel="1" x14ac:dyDescent="0.2">
      <c r="B58" s="314" t="s">
        <v>552</v>
      </c>
      <c r="C58" s="315" t="str">
        <f>VLOOKUP(D58,Fontes!$A$6:$H$11629,8,FALSE)</f>
        <v>Estimativa</v>
      </c>
      <c r="D58" s="315" t="s">
        <v>1842</v>
      </c>
      <c r="E58" s="204" t="str">
        <f>VLOOKUP(D58,Fontes!$A$6:$H$11629,2,FALSE)</f>
        <v>Demolição do edifício L</v>
      </c>
      <c r="F58" s="203">
        <v>1</v>
      </c>
      <c r="G58" s="203" t="str">
        <f>VLOOKUP(D58,Fontes!$A$6:$L$11629,3,FALSE)</f>
        <v>un</v>
      </c>
      <c r="H58" s="203">
        <v>0</v>
      </c>
      <c r="I58" s="203">
        <v>12821</v>
      </c>
      <c r="J58" s="203">
        <v>0</v>
      </c>
      <c r="K58" s="316">
        <f t="shared" si="10"/>
        <v>12821</v>
      </c>
      <c r="L58" s="317">
        <f t="shared" si="11"/>
        <v>12821</v>
      </c>
      <c r="M58" s="318">
        <f t="shared" si="12"/>
        <v>4.643064229150534E-4</v>
      </c>
    </row>
    <row r="59" spans="2:13" s="313" customFormat="1" ht="25.5" customHeight="1" outlineLevel="1" x14ac:dyDescent="0.2">
      <c r="B59" s="314" t="s">
        <v>553</v>
      </c>
      <c r="C59" s="315" t="str">
        <f>VLOOKUP(D59,Fontes!$A$6:$H$11629,8,FALSE)</f>
        <v>Estimativa</v>
      </c>
      <c r="D59" s="315" t="s">
        <v>1843</v>
      </c>
      <c r="E59" s="204" t="str">
        <f>VLOOKUP(D59,Fontes!$A$6:$H$11629,2,FALSE)</f>
        <v>Demolição do edifício M</v>
      </c>
      <c r="F59" s="203">
        <v>1</v>
      </c>
      <c r="G59" s="203" t="str">
        <f>VLOOKUP(D59,Fontes!$A$6:$L$11629,3,FALSE)</f>
        <v>un</v>
      </c>
      <c r="H59" s="203">
        <v>0</v>
      </c>
      <c r="I59" s="203">
        <v>9519.5925000000007</v>
      </c>
      <c r="J59" s="203">
        <v>0</v>
      </c>
      <c r="K59" s="316">
        <f t="shared" si="10"/>
        <v>9519.59</v>
      </c>
      <c r="L59" s="317">
        <f t="shared" si="11"/>
        <v>9519.59</v>
      </c>
      <c r="M59" s="318">
        <f t="shared" si="12"/>
        <v>3.4474742847811503E-4</v>
      </c>
    </row>
    <row r="60" spans="2:13" s="313" customFormat="1" ht="72" outlineLevel="1" x14ac:dyDescent="0.2">
      <c r="B60" s="314" t="s">
        <v>554</v>
      </c>
      <c r="C60" s="315" t="str">
        <f>VLOOKUP(D60,Fontes!$A$6:$H$11629,8,FALSE)</f>
        <v>SINAPI / RJ</v>
      </c>
      <c r="D60" s="315">
        <v>100982</v>
      </c>
      <c r="E60" s="204" t="str">
        <f>VLOOKUP(D60,Fontes!$A$6:$H$11629,2,FALSE)</f>
        <v>Carga, manobra e descarga de entulho em caminhão basculante 10 m³ - carga com escavadeira hidráulica  (caçamba de 0,80 m³ / 111 hp) e descarga livre (unidade: m3). af_07/2020</v>
      </c>
      <c r="F60" s="203">
        <v>386.2</v>
      </c>
      <c r="G60" s="203" t="str">
        <f>VLOOKUP(D60,Fontes!$A$6:$L$11629,3,FALSE)</f>
        <v>m3</v>
      </c>
      <c r="H60" s="203">
        <v>4.0789859154929582</v>
      </c>
      <c r="I60" s="203">
        <v>1.9467887323943662</v>
      </c>
      <c r="J60" s="203">
        <v>4.9442253521126762</v>
      </c>
      <c r="K60" s="316">
        <f t="shared" si="10"/>
        <v>10.97</v>
      </c>
      <c r="L60" s="317">
        <f t="shared" si="11"/>
        <v>4236.6099999999997</v>
      </c>
      <c r="M60" s="318">
        <f t="shared" si="12"/>
        <v>1.5342681806303286E-4</v>
      </c>
    </row>
    <row r="61" spans="2:13" s="313" customFormat="1" ht="36" outlineLevel="1" x14ac:dyDescent="0.2">
      <c r="B61" s="314" t="s">
        <v>1956</v>
      </c>
      <c r="C61" s="315" t="str">
        <f>VLOOKUP(D61,Fontes!$A$6:$H$11629,8,FALSE)</f>
        <v>SINAPI / RJ</v>
      </c>
      <c r="D61" s="315">
        <v>97918</v>
      </c>
      <c r="E61" s="204" t="str">
        <f>VLOOKUP(D61,Fontes!$A$6:$H$11629,2,FALSE)</f>
        <v>Transporte com caminhão basculante de 6 m³, em via urbana pavimentada, dmt até 30 km</v>
      </c>
      <c r="F61" s="203">
        <f>F60*30</f>
        <v>11586</v>
      </c>
      <c r="G61" s="203" t="str">
        <f>VLOOKUP(D61,Fontes!$A$6:$L$11629,3,FALSE)</f>
        <v>txkm</v>
      </c>
      <c r="H61" s="203">
        <v>1.2035882352941174</v>
      </c>
      <c r="I61" s="203">
        <v>0.44182352941176462</v>
      </c>
      <c r="J61" s="203">
        <v>0.94458823529411751</v>
      </c>
      <c r="K61" s="316">
        <f t="shared" si="10"/>
        <v>2.59</v>
      </c>
      <c r="L61" s="317">
        <f t="shared" si="11"/>
        <v>30007.74</v>
      </c>
      <c r="M61" s="318">
        <f t="shared" si="12"/>
        <v>1.0867160454851388E-3</v>
      </c>
    </row>
    <row r="62" spans="2:13" s="109" customFormat="1" ht="18" outlineLevel="1" x14ac:dyDescent="0.2">
      <c r="B62" s="114"/>
      <c r="C62" s="115"/>
      <c r="D62" s="315"/>
      <c r="E62" s="116"/>
      <c r="F62" s="117"/>
      <c r="G62" s="117"/>
      <c r="H62" s="117"/>
      <c r="I62" s="117"/>
      <c r="J62" s="117"/>
      <c r="K62" s="118"/>
      <c r="L62" s="119"/>
      <c r="M62" s="120">
        <f t="shared" si="12"/>
        <v>0</v>
      </c>
    </row>
    <row r="63" spans="2:13" s="109" customFormat="1" ht="18" outlineLevel="1" x14ac:dyDescent="0.2">
      <c r="B63" s="114"/>
      <c r="C63" s="115"/>
      <c r="D63" s="315"/>
      <c r="E63" s="116"/>
      <c r="F63" s="117"/>
      <c r="G63" s="117"/>
      <c r="H63" s="117"/>
      <c r="I63" s="117"/>
      <c r="J63" s="117"/>
      <c r="K63" s="118"/>
      <c r="L63" s="119"/>
      <c r="M63" s="120">
        <f t="shared" si="12"/>
        <v>0</v>
      </c>
    </row>
    <row r="64" spans="2:13" s="109" customFormat="1" ht="25.35" customHeight="1" outlineLevel="1" x14ac:dyDescent="0.2">
      <c r="B64" s="206">
        <v>4</v>
      </c>
      <c r="C64" s="207"/>
      <c r="D64" s="207"/>
      <c r="E64" s="309" t="s">
        <v>179</v>
      </c>
      <c r="F64" s="209"/>
      <c r="G64" s="205"/>
      <c r="H64" s="210"/>
      <c r="I64" s="210"/>
      <c r="J64" s="209"/>
      <c r="K64" s="209"/>
      <c r="L64" s="211">
        <f>SUBTOTAL(9,L65:L109)</f>
        <v>2273837.0999999992</v>
      </c>
      <c r="M64" s="212">
        <f t="shared" si="12"/>
        <v>8.2345930129673048E-2</v>
      </c>
    </row>
    <row r="65" spans="2:13" s="109" customFormat="1" ht="25.35" customHeight="1" outlineLevel="1" x14ac:dyDescent="0.2">
      <c r="B65" s="217" t="s">
        <v>555</v>
      </c>
      <c r="C65" s="218"/>
      <c r="D65" s="218"/>
      <c r="E65" s="311" t="s">
        <v>178</v>
      </c>
      <c r="F65" s="219"/>
      <c r="G65" s="220"/>
      <c r="H65" s="221"/>
      <c r="I65" s="221"/>
      <c r="J65" s="219"/>
      <c r="K65" s="219"/>
      <c r="L65" s="222">
        <f>SUBTOTAL(9,L66:L84)</f>
        <v>1412616.9199999997</v>
      </c>
      <c r="M65" s="223">
        <f t="shared" si="12"/>
        <v>5.1157250532289214E-2</v>
      </c>
    </row>
    <row r="66" spans="2:13" s="313" customFormat="1" ht="18" outlineLevel="1" x14ac:dyDescent="0.2">
      <c r="B66" s="314" t="s">
        <v>556</v>
      </c>
      <c r="C66" s="315"/>
      <c r="D66" s="315"/>
      <c r="E66" s="319" t="s">
        <v>1159</v>
      </c>
      <c r="F66" s="203"/>
      <c r="G66" s="203"/>
      <c r="H66" s="203"/>
      <c r="I66" s="203"/>
      <c r="J66" s="203"/>
      <c r="K66" s="316"/>
      <c r="L66" s="317"/>
      <c r="M66" s="318">
        <f t="shared" si="12"/>
        <v>0</v>
      </c>
    </row>
    <row r="67" spans="2:13" s="313" customFormat="1" ht="54" outlineLevel="1" x14ac:dyDescent="0.2">
      <c r="B67" s="314" t="s">
        <v>1957</v>
      </c>
      <c r="C67" s="315" t="str">
        <f>VLOOKUP(D67,Fontes!$A$6:$H$11629,8,FALSE)</f>
        <v>Custo Mercado Reajustado</v>
      </c>
      <c r="D67" s="315" t="s">
        <v>158</v>
      </c>
      <c r="E67" s="204" t="str">
        <f>VLOOKUP(D67,Fontes!$A$6:$H$11629,2,FALSE)</f>
        <v>Mobilização e desmobilização de equipamentos para rebaixamento de lençol freático</v>
      </c>
      <c r="F67" s="203">
        <v>3</v>
      </c>
      <c r="G67" s="203" t="str">
        <f>VLOOKUP(D67,Fontes!$A$6:$L$11629,3,FALSE)</f>
        <v>un</v>
      </c>
      <c r="H67" s="203">
        <v>0</v>
      </c>
      <c r="I67" s="203">
        <v>0</v>
      </c>
      <c r="J67" s="203">
        <v>9615.75</v>
      </c>
      <c r="K67" s="316">
        <f t="shared" ref="K67:K69" si="13">ROUND(+H67+I67+J67,2)</f>
        <v>9615.75</v>
      </c>
      <c r="L67" s="317">
        <f t="shared" ref="L67:L69" si="14">ROUND(F67*K67,2)</f>
        <v>28847.25</v>
      </c>
      <c r="M67" s="318">
        <f t="shared" si="12"/>
        <v>1.0446894515588701E-3</v>
      </c>
    </row>
    <row r="68" spans="2:13" s="313" customFormat="1" ht="54" outlineLevel="1" x14ac:dyDescent="0.2">
      <c r="B68" s="314" t="s">
        <v>1958</v>
      </c>
      <c r="C68" s="315" t="str">
        <f>VLOOKUP(D68,Fontes!$A$6:$H$11629,8,FALSE)</f>
        <v>Custo Mercado Reajustado</v>
      </c>
      <c r="D68" s="315" t="s">
        <v>159</v>
      </c>
      <c r="E68" s="204" t="str">
        <f>VLOOKUP(D68,Fontes!$A$6:$H$11629,2,FALSE)</f>
        <v>Montagem e instalação de ponteiro filtrante à vácuo com até 5,00 m</v>
      </c>
      <c r="F68" s="203">
        <v>90</v>
      </c>
      <c r="G68" s="203" t="str">
        <f>VLOOKUP(D68,Fontes!$A$6:$L$11629,3,FALSE)</f>
        <v>cj/dia</v>
      </c>
      <c r="H68" s="203">
        <v>0</v>
      </c>
      <c r="I68" s="203">
        <v>0</v>
      </c>
      <c r="J68" s="203">
        <v>495.03305555555551</v>
      </c>
      <c r="K68" s="316">
        <f t="shared" si="13"/>
        <v>495.03</v>
      </c>
      <c r="L68" s="317">
        <f t="shared" si="14"/>
        <v>44552.7</v>
      </c>
      <c r="M68" s="318">
        <f t="shared" si="12"/>
        <v>1.6134548606354807E-3</v>
      </c>
    </row>
    <row r="69" spans="2:13" s="313" customFormat="1" ht="54" outlineLevel="1" x14ac:dyDescent="0.2">
      <c r="B69" s="314" t="s">
        <v>1959</v>
      </c>
      <c r="C69" s="315" t="str">
        <f>VLOOKUP(D69,Fontes!$A$6:$H$11629,8,FALSE)</f>
        <v>Custo Mercado Reajustado</v>
      </c>
      <c r="D69" s="315" t="s">
        <v>160</v>
      </c>
      <c r="E69" s="204" t="str">
        <f>VLOOKUP(D69,Fontes!$A$6:$H$11629,2,FALSE)</f>
        <v>Operação para até 3 conjuntos de rebaixamento incluindo manutenção e monitoramento</v>
      </c>
      <c r="F69" s="203">
        <v>90</v>
      </c>
      <c r="G69" s="203" t="str">
        <f>VLOOKUP(D69,Fontes!$A$6:$L$11629,3,FALSE)</f>
        <v>dia</v>
      </c>
      <c r="H69" s="203">
        <v>0</v>
      </c>
      <c r="I69" s="203">
        <v>1326.9735000000001</v>
      </c>
      <c r="J69" s="203">
        <v>0</v>
      </c>
      <c r="K69" s="316">
        <f t="shared" si="13"/>
        <v>1326.97</v>
      </c>
      <c r="L69" s="317">
        <f t="shared" si="14"/>
        <v>119427.3</v>
      </c>
      <c r="M69" s="318">
        <f t="shared" si="12"/>
        <v>4.3250029218783988E-3</v>
      </c>
    </row>
    <row r="70" spans="2:13" s="313" customFormat="1" ht="54" outlineLevel="1" x14ac:dyDescent="0.2">
      <c r="B70" s="314" t="s">
        <v>1960</v>
      </c>
      <c r="C70" s="315" t="str">
        <f>VLOOKUP(D70,Fontes!$A$6:$H$11629,8,FALSE)</f>
        <v>SINAPI / RJ</v>
      </c>
      <c r="D70" s="315">
        <v>99059</v>
      </c>
      <c r="E70" s="204" t="str">
        <f>VLOOKUP(D70,Fontes!$A$6:$H$11629,2,FALSE)</f>
        <v>Locacao convencional de obra, utilizando gabarito de tábuas corridas pontaletadas a cada 2,00m -  2 utilizações. af_10/2018</v>
      </c>
      <c r="F70" s="203">
        <v>383.1</v>
      </c>
      <c r="G70" s="203" t="str">
        <f>VLOOKUP(D70,Fontes!$A$6:$L$11629,3,FALSE)</f>
        <v>m</v>
      </c>
      <c r="H70" s="203">
        <v>49.53210286968794</v>
      </c>
      <c r="I70" s="203">
        <v>34.407897130312058</v>
      </c>
      <c r="J70" s="203">
        <v>0</v>
      </c>
      <c r="K70" s="316">
        <f t="shared" ref="K70:K81" si="15">ROUND(+H70+I70+J70,2)</f>
        <v>83.94</v>
      </c>
      <c r="L70" s="317">
        <f t="shared" ref="L70:L81" si="16">ROUND(F70*K70,2)</f>
        <v>32157.41</v>
      </c>
      <c r="M70" s="318">
        <f t="shared" si="12"/>
        <v>1.1645653230881185E-3</v>
      </c>
    </row>
    <row r="71" spans="2:13" s="313" customFormat="1" ht="54" outlineLevel="1" x14ac:dyDescent="0.2">
      <c r="B71" s="314" t="s">
        <v>1961</v>
      </c>
      <c r="C71" s="315" t="str">
        <f>VLOOKUP(D71,Fontes!$A$6:$H$11629,8,FALSE)</f>
        <v>Custo Mercado Reajustado</v>
      </c>
      <c r="D71" s="315" t="s">
        <v>152</v>
      </c>
      <c r="E71" s="204" t="str">
        <f>VLOOKUP(D71,Fontes!$A$6:$H$11629,2,FALSE)</f>
        <v>Taxa de mobilização para equipamento de estaca raiz</v>
      </c>
      <c r="F71" s="203">
        <v>2</v>
      </c>
      <c r="G71" s="203" t="str">
        <f>VLOOKUP(D71,Fontes!$A$6:$L$11629,3,FALSE)</f>
        <v>un</v>
      </c>
      <c r="H71" s="203">
        <v>0</v>
      </c>
      <c r="I71" s="203">
        <v>0</v>
      </c>
      <c r="J71" s="203">
        <v>22538.676950000001</v>
      </c>
      <c r="K71" s="316">
        <f t="shared" si="15"/>
        <v>22538.68</v>
      </c>
      <c r="L71" s="317">
        <f t="shared" si="16"/>
        <v>45077.36</v>
      </c>
      <c r="M71" s="318">
        <f t="shared" si="12"/>
        <v>1.6324551732356377E-3</v>
      </c>
    </row>
    <row r="72" spans="2:13" s="313" customFormat="1" ht="54" outlineLevel="1" x14ac:dyDescent="0.2">
      <c r="B72" s="314" t="s">
        <v>1962</v>
      </c>
      <c r="C72" s="315" t="str">
        <f>VLOOKUP(D72,Fontes!$A$6:$H$11629,8,FALSE)</f>
        <v>Custo Mercado Reajustado</v>
      </c>
      <c r="D72" s="315" t="s">
        <v>153</v>
      </c>
      <c r="E72" s="204" t="str">
        <f>VLOOKUP(D72,Fontes!$A$6:$H$11629,2,FALSE)</f>
        <v>Execução de estaca raiz Ø 250 mm em terra</v>
      </c>
      <c r="F72" s="203">
        <v>720</v>
      </c>
      <c r="G72" s="203" t="str">
        <f>VLOOKUP(D72,Fontes!$A$6:$L$11629,3,FALSE)</f>
        <v>m</v>
      </c>
      <c r="H72" s="203">
        <v>0</v>
      </c>
      <c r="I72" s="203">
        <v>0</v>
      </c>
      <c r="J72" s="203">
        <v>233.21350921250001</v>
      </c>
      <c r="K72" s="316">
        <f t="shared" si="15"/>
        <v>233.21</v>
      </c>
      <c r="L72" s="317">
        <f t="shared" si="16"/>
        <v>167911.2</v>
      </c>
      <c r="M72" s="318">
        <f t="shared" si="12"/>
        <v>6.0808243225469244E-3</v>
      </c>
    </row>
    <row r="73" spans="2:13" s="313" customFormat="1" ht="54" outlineLevel="1" x14ac:dyDescent="0.2">
      <c r="B73" s="314" t="s">
        <v>1963</v>
      </c>
      <c r="C73" s="315" t="str">
        <f>VLOOKUP(D73,Fontes!$A$6:$H$11629,8,FALSE)</f>
        <v>Custo Mercado Reajustado</v>
      </c>
      <c r="D73" s="315" t="s">
        <v>154</v>
      </c>
      <c r="E73" s="204" t="str">
        <f>VLOOKUP(D73,Fontes!$A$6:$H$11629,2,FALSE)</f>
        <v>Execução de estaca raiz Ø 310 mm em terra</v>
      </c>
      <c r="F73" s="203">
        <v>2047.5</v>
      </c>
      <c r="G73" s="203" t="str">
        <f>VLOOKUP(D73,Fontes!$A$6:$L$11629,3,FALSE)</f>
        <v>m</v>
      </c>
      <c r="H73" s="203">
        <v>0</v>
      </c>
      <c r="I73" s="203">
        <v>0</v>
      </c>
      <c r="J73" s="203">
        <v>269.94928358229856</v>
      </c>
      <c r="K73" s="316">
        <f t="shared" si="15"/>
        <v>269.95</v>
      </c>
      <c r="L73" s="317">
        <f t="shared" si="16"/>
        <v>552722.63</v>
      </c>
      <c r="M73" s="318">
        <f t="shared" si="12"/>
        <v>2.0016587411239416E-2</v>
      </c>
    </row>
    <row r="74" spans="2:13" s="313" customFormat="1" ht="18" outlineLevel="1" x14ac:dyDescent="0.2">
      <c r="B74" s="314" t="s">
        <v>1964</v>
      </c>
      <c r="C74" s="315" t="str">
        <f>VLOOKUP(D74,Fontes!$A$6:$H$11629,8,FALSE)</f>
        <v>FACC</v>
      </c>
      <c r="D74" s="315" t="s">
        <v>1169</v>
      </c>
      <c r="E74" s="204" t="str">
        <f>VLOOKUP(D74,Fontes!$A$6:$H$11629,2,FALSE)</f>
        <v>Materiais para argamassa para estaca raiz Ø 250 mm</v>
      </c>
      <c r="F74" s="203">
        <f>F72</f>
        <v>720</v>
      </c>
      <c r="G74" s="203" t="str">
        <f>VLOOKUP(D74,Fontes!$A$6:$L$11629,3,FALSE)</f>
        <v>m</v>
      </c>
      <c r="H74" s="203">
        <v>37.26</v>
      </c>
      <c r="I74" s="203">
        <v>0</v>
      </c>
      <c r="J74" s="203">
        <v>0</v>
      </c>
      <c r="K74" s="316">
        <f t="shared" si="15"/>
        <v>37.26</v>
      </c>
      <c r="L74" s="317">
        <f t="shared" si="16"/>
        <v>26827.200000000001</v>
      </c>
      <c r="M74" s="318">
        <f t="shared" si="12"/>
        <v>9.7153430066505896E-4</v>
      </c>
    </row>
    <row r="75" spans="2:13" s="313" customFormat="1" ht="18" outlineLevel="1" x14ac:dyDescent="0.2">
      <c r="B75" s="314" t="s">
        <v>1965</v>
      </c>
      <c r="C75" s="315" t="str">
        <f>VLOOKUP(D75,Fontes!$A$6:$H$11629,8,FALSE)</f>
        <v>FACC</v>
      </c>
      <c r="D75" s="315" t="s">
        <v>1170</v>
      </c>
      <c r="E75" s="204" t="str">
        <f>VLOOKUP(D75,Fontes!$A$6:$H$11629,2,FALSE)</f>
        <v>Materiais para argamassa para estaca raiz Ø 310 mm</v>
      </c>
      <c r="F75" s="203">
        <f>F73</f>
        <v>2047.5</v>
      </c>
      <c r="G75" s="203" t="str">
        <f>VLOOKUP(D75,Fontes!$A$6:$L$11629,3,FALSE)</f>
        <v>m</v>
      </c>
      <c r="H75" s="203">
        <v>59.6</v>
      </c>
      <c r="I75" s="203">
        <v>0</v>
      </c>
      <c r="J75" s="203">
        <v>0</v>
      </c>
      <c r="K75" s="316">
        <f t="shared" ref="K75" si="17">ROUND(+H75+I75+J75,2)</f>
        <v>59.6</v>
      </c>
      <c r="L75" s="317">
        <f t="shared" ref="L75" si="18">ROUND(F75*K75,2)</f>
        <v>122031</v>
      </c>
      <c r="M75" s="318">
        <f t="shared" si="12"/>
        <v>4.4192946801924092E-3</v>
      </c>
    </row>
    <row r="76" spans="2:13" s="313" customFormat="1" ht="18" outlineLevel="1" x14ac:dyDescent="0.2">
      <c r="B76" s="314" t="s">
        <v>1966</v>
      </c>
      <c r="C76" s="315" t="str">
        <f>VLOOKUP(D76,Fontes!$A$6:$H$11629,8,FALSE)</f>
        <v>SINAPI / RJ</v>
      </c>
      <c r="D76" s="315">
        <v>95579</v>
      </c>
      <c r="E76" s="204" t="str">
        <f>VLOOKUP(D76,Fontes!$A$6:$H$11629,2,FALSE)</f>
        <v>Montagem de armadura de estacas, diâmetro = 16,0 mm</v>
      </c>
      <c r="F76" s="203">
        <v>18892.8</v>
      </c>
      <c r="G76" s="203" t="str">
        <f>VLOOKUP(D76,Fontes!$A$6:$L$11629,3,FALSE)</f>
        <v>kg</v>
      </c>
      <c r="H76" s="203">
        <v>8.5082037996545772</v>
      </c>
      <c r="I76" s="203">
        <v>0.24179620034542312</v>
      </c>
      <c r="J76" s="203">
        <v>0</v>
      </c>
      <c r="K76" s="316">
        <f t="shared" si="15"/>
        <v>8.75</v>
      </c>
      <c r="L76" s="317">
        <f t="shared" si="16"/>
        <v>165312</v>
      </c>
      <c r="M76" s="318">
        <f t="shared" si="12"/>
        <v>5.986695529594673E-3</v>
      </c>
    </row>
    <row r="77" spans="2:13" s="313" customFormat="1" ht="36" outlineLevel="1" x14ac:dyDescent="0.2">
      <c r="B77" s="314" t="s">
        <v>1967</v>
      </c>
      <c r="C77" s="315" t="str">
        <f>VLOOKUP(D77,Fontes!$A$6:$H$11629,8,FALSE)</f>
        <v>SINAPI / RJ</v>
      </c>
      <c r="D77" s="315">
        <v>95584</v>
      </c>
      <c r="E77" s="204" t="str">
        <f>VLOOKUP(D77,Fontes!$A$6:$H$11629,2,FALSE)</f>
        <v>Montagem de armadura transversal de estacas de seção circular, diâmetro = 6,30 mm</v>
      </c>
      <c r="F77" s="203">
        <v>2538.5500000000002</v>
      </c>
      <c r="G77" s="203" t="str">
        <f>VLOOKUP(D77,Fontes!$A$6:$L$11629,3,FALSE)</f>
        <v>kg</v>
      </c>
      <c r="H77" s="203">
        <v>13.208610289769366</v>
      </c>
      <c r="I77" s="203">
        <v>2.7113897102306326</v>
      </c>
      <c r="J77" s="203">
        <v>0</v>
      </c>
      <c r="K77" s="316">
        <f t="shared" si="15"/>
        <v>15.92</v>
      </c>
      <c r="L77" s="317">
        <f t="shared" si="16"/>
        <v>40413.72</v>
      </c>
      <c r="M77" s="318">
        <f t="shared" si="12"/>
        <v>1.463563666632131E-3</v>
      </c>
    </row>
    <row r="78" spans="2:13" s="313" customFormat="1" ht="36" outlineLevel="1" x14ac:dyDescent="0.2">
      <c r="B78" s="314" t="s">
        <v>1968</v>
      </c>
      <c r="C78" s="315" t="str">
        <f>VLOOKUP(D78,Fontes!$A$6:$H$11629,8,FALSE)</f>
        <v>SINAPI / RJ</v>
      </c>
      <c r="D78" s="315">
        <v>95601</v>
      </c>
      <c r="E78" s="204" t="str">
        <f>VLOOKUP(D78,Fontes!$A$6:$H$11629,2,FALSE)</f>
        <v>Arrasamento mecanico de estaca de concreto armado, diametros de até 40 cm</v>
      </c>
      <c r="F78" s="203">
        <v>123</v>
      </c>
      <c r="G78" s="203" t="str">
        <f>VLOOKUP(D78,Fontes!$A$6:$L$11629,3,FALSE)</f>
        <v>un</v>
      </c>
      <c r="H78" s="203">
        <v>6.7802985805188447</v>
      </c>
      <c r="I78" s="203">
        <v>19.763563387175722</v>
      </c>
      <c r="J78" s="203">
        <v>0.88613803230543298</v>
      </c>
      <c r="K78" s="316">
        <f t="shared" si="15"/>
        <v>27.43</v>
      </c>
      <c r="L78" s="317">
        <f t="shared" si="16"/>
        <v>3373.89</v>
      </c>
      <c r="M78" s="318">
        <f t="shared" si="12"/>
        <v>1.2218382319701033E-4</v>
      </c>
    </row>
    <row r="79" spans="2:13" s="313" customFormat="1" ht="54" outlineLevel="1" x14ac:dyDescent="0.2">
      <c r="B79" s="314" t="s">
        <v>1969</v>
      </c>
      <c r="C79" s="315" t="str">
        <f>VLOOKUP(D79,Fontes!$A$6:$H$11629,8,FALSE)</f>
        <v>SINAPI / RJ</v>
      </c>
      <c r="D79" s="315">
        <v>100977</v>
      </c>
      <c r="E79" s="204" t="str">
        <f>VLOOKUP(D79,Fontes!$A$6:$H$11629,2,FALSE)</f>
        <v>Carga, manobra e descarga de solos e materiais granulares em caminhão basculante 6 m³ - carga com escavadeira hidráulica (caçamba de 1,20 m³ / 155 hp) e descarga livre</v>
      </c>
      <c r="F79" s="203">
        <v>246.85</v>
      </c>
      <c r="G79" s="203" t="str">
        <f>VLOOKUP(D79,Fontes!$A$6:$L$11629,3,FALSE)</f>
        <v>m3</v>
      </c>
      <c r="H79" s="203">
        <v>3.3952941176470586</v>
      </c>
      <c r="I79" s="203">
        <v>1.9805882352941173</v>
      </c>
      <c r="J79" s="203">
        <v>4.2441176470588227</v>
      </c>
      <c r="K79" s="316">
        <f t="shared" si="15"/>
        <v>9.6199999999999992</v>
      </c>
      <c r="L79" s="317">
        <f t="shared" si="16"/>
        <v>2374.6999999999998</v>
      </c>
      <c r="M79" s="318">
        <f t="shared" si="12"/>
        <v>8.5998632126696608E-5</v>
      </c>
    </row>
    <row r="80" spans="2:13" s="313" customFormat="1" ht="36" outlineLevel="1" x14ac:dyDescent="0.2">
      <c r="B80" s="314" t="s">
        <v>1970</v>
      </c>
      <c r="C80" s="315" t="str">
        <f>VLOOKUP(D80,Fontes!$A$6:$H$11629,8,FALSE)</f>
        <v>SINAPI / RJ</v>
      </c>
      <c r="D80" s="315">
        <v>97918</v>
      </c>
      <c r="E80" s="204" t="str">
        <f>VLOOKUP(D80,Fontes!$A$6:$H$11629,2,FALSE)</f>
        <v>Transporte com caminhão basculante de 6 m³, em via urbana pavimentada, dmt até 30 km</v>
      </c>
      <c r="F80" s="203">
        <f>F79*30</f>
        <v>7405.5</v>
      </c>
      <c r="G80" s="203" t="str">
        <f>VLOOKUP(D80,Fontes!$A$6:$L$11629,3,FALSE)</f>
        <v>txkm</v>
      </c>
      <c r="H80" s="203">
        <v>1.2035882352941174</v>
      </c>
      <c r="I80" s="203">
        <v>0.44182352941176462</v>
      </c>
      <c r="J80" s="203">
        <v>0.94458823529411751</v>
      </c>
      <c r="K80" s="316">
        <f t="shared" si="15"/>
        <v>2.59</v>
      </c>
      <c r="L80" s="317">
        <f t="shared" si="16"/>
        <v>19180.25</v>
      </c>
      <c r="M80" s="318">
        <f t="shared" si="12"/>
        <v>6.9460363997476428E-4</v>
      </c>
    </row>
    <row r="81" spans="2:13" s="313" customFormat="1" ht="54" outlineLevel="1" x14ac:dyDescent="0.2">
      <c r="B81" s="314" t="s">
        <v>1971</v>
      </c>
      <c r="C81" s="315" t="str">
        <f>VLOOKUP(D81,Fontes!$A$6:$H$11629,8,FALSE)</f>
        <v>Custo Mercado Reajustado</v>
      </c>
      <c r="D81" s="315" t="s">
        <v>155</v>
      </c>
      <c r="E81" s="204" t="str">
        <f>VLOOKUP(D81,Fontes!$A$6:$H$11629,2,FALSE)</f>
        <v>Mobilização e desmobilização de equipe e equipamentos para execução de prova de carga em estacas</v>
      </c>
      <c r="F81" s="203">
        <v>1</v>
      </c>
      <c r="G81" s="203" t="str">
        <f>VLOOKUP(D81,Fontes!$A$6:$L$11629,3,FALSE)</f>
        <v>un</v>
      </c>
      <c r="H81" s="203">
        <v>0</v>
      </c>
      <c r="I81" s="203">
        <v>0</v>
      </c>
      <c r="J81" s="203">
        <v>14701.413333333332</v>
      </c>
      <c r="K81" s="316">
        <f t="shared" si="15"/>
        <v>14701.41</v>
      </c>
      <c r="L81" s="317">
        <f t="shared" si="16"/>
        <v>14701.41</v>
      </c>
      <c r="M81" s="318">
        <f t="shared" si="12"/>
        <v>5.3240457756084506E-4</v>
      </c>
    </row>
    <row r="82" spans="2:13" s="313" customFormat="1" ht="54" outlineLevel="1" x14ac:dyDescent="0.2">
      <c r="B82" s="314" t="s">
        <v>1972</v>
      </c>
      <c r="C82" s="315" t="str">
        <f>VLOOKUP(D82,Fontes!$A$6:$H$11629,8,FALSE)</f>
        <v>Custo Mercado Reajustado</v>
      </c>
      <c r="D82" s="315" t="s">
        <v>157</v>
      </c>
      <c r="E82" s="204" t="str">
        <f>VLOOKUP(D82,Fontes!$A$6:$H$11629,2,FALSE)</f>
        <v>Execução de prova de carga em estaca raiz incluindo ART, PPRA e PCMSO</v>
      </c>
      <c r="F82" s="203">
        <v>1</v>
      </c>
      <c r="G82" s="203" t="str">
        <f>VLOOKUP(D82,Fontes!$A$6:$L$11629,3,FALSE)</f>
        <v>un</v>
      </c>
      <c r="H82" s="203">
        <v>15669.142413333335</v>
      </c>
      <c r="I82" s="203">
        <v>0</v>
      </c>
      <c r="J82" s="203">
        <v>0</v>
      </c>
      <c r="K82" s="316">
        <f t="shared" ref="K82" si="19">ROUND(+H82+I82+J82,2)</f>
        <v>15669.14</v>
      </c>
      <c r="L82" s="317">
        <f t="shared" ref="L82" si="20">ROUND(F82*K82,2)</f>
        <v>15669.14</v>
      </c>
      <c r="M82" s="318">
        <f t="shared" si="12"/>
        <v>5.6745045967983613E-4</v>
      </c>
    </row>
    <row r="83" spans="2:13" s="313" customFormat="1" ht="18" outlineLevel="1" x14ac:dyDescent="0.2">
      <c r="B83" s="314" t="s">
        <v>557</v>
      </c>
      <c r="C83" s="315"/>
      <c r="D83" s="315"/>
      <c r="E83" s="319" t="s">
        <v>1160</v>
      </c>
      <c r="F83" s="203"/>
      <c r="G83" s="203"/>
      <c r="H83" s="203"/>
      <c r="I83" s="203"/>
      <c r="J83" s="203"/>
      <c r="K83" s="316"/>
      <c r="L83" s="317"/>
      <c r="M83" s="318">
        <f t="shared" si="12"/>
        <v>0</v>
      </c>
    </row>
    <row r="84" spans="2:13" s="313" customFormat="1" ht="36" outlineLevel="1" x14ac:dyDescent="0.2">
      <c r="B84" s="314" t="s">
        <v>1980</v>
      </c>
      <c r="C84" s="315" t="str">
        <f>VLOOKUP(D84,Fontes!$A$6:$H$11629,8,FALSE)</f>
        <v>SINAPI / RJ</v>
      </c>
      <c r="D84" s="315">
        <v>101174</v>
      </c>
      <c r="E84" s="204" t="str">
        <f>VLOOKUP(D84,Fontes!$A$6:$H$11629,2,FALSE)</f>
        <v>Estaca broca de concreto, diâmetro de 25cm, escavação manual com trado concha, com armadura de arranque</v>
      </c>
      <c r="F84" s="203">
        <v>112</v>
      </c>
      <c r="G84" s="203" t="str">
        <f>VLOOKUP(D84,Fontes!$A$6:$L$11629,3,FALSE)</f>
        <v>m</v>
      </c>
      <c r="H84" s="203">
        <v>60.973766292134833</v>
      </c>
      <c r="I84" s="203">
        <v>46.240552808988767</v>
      </c>
      <c r="J84" s="203">
        <v>0.2656808988764045</v>
      </c>
      <c r="K84" s="316">
        <f t="shared" ref="K84" si="21">ROUND(+H84+I84+J84,2)</f>
        <v>107.48</v>
      </c>
      <c r="L84" s="317">
        <f t="shared" ref="L84" si="22">ROUND(F84*K84,2)</f>
        <v>12037.76</v>
      </c>
      <c r="M84" s="318">
        <f t="shared" si="12"/>
        <v>4.3594175848295089E-4</v>
      </c>
    </row>
    <row r="85" spans="2:13" s="109" customFormat="1" ht="18" outlineLevel="1" x14ac:dyDescent="0.2">
      <c r="B85" s="114"/>
      <c r="C85" s="115"/>
      <c r="D85" s="115"/>
      <c r="E85" s="116"/>
      <c r="F85" s="117"/>
      <c r="G85" s="117"/>
      <c r="H85" s="117"/>
      <c r="I85" s="117"/>
      <c r="J85" s="117"/>
      <c r="K85" s="118"/>
      <c r="L85" s="119"/>
      <c r="M85" s="120">
        <f t="shared" si="12"/>
        <v>0</v>
      </c>
    </row>
    <row r="86" spans="2:13" s="109" customFormat="1" ht="25.35" customHeight="1" outlineLevel="1" x14ac:dyDescent="0.2">
      <c r="B86" s="217" t="s">
        <v>558</v>
      </c>
      <c r="C86" s="218"/>
      <c r="D86" s="218"/>
      <c r="E86" s="311" t="s">
        <v>180</v>
      </c>
      <c r="F86" s="219"/>
      <c r="G86" s="220"/>
      <c r="H86" s="221"/>
      <c r="I86" s="221"/>
      <c r="J86" s="219"/>
      <c r="K86" s="219"/>
      <c r="L86" s="222">
        <f>SUBTOTAL(9,L87:L109)</f>
        <v>861220.18000000017</v>
      </c>
      <c r="M86" s="223">
        <f t="shared" ref="M86:M117" si="23">+L86/$L$851</f>
        <v>3.1188679597383862E-2</v>
      </c>
    </row>
    <row r="87" spans="2:13" s="313" customFormat="1" ht="18" outlineLevel="1" x14ac:dyDescent="0.2">
      <c r="B87" s="314" t="s">
        <v>559</v>
      </c>
      <c r="C87" s="315"/>
      <c r="D87" s="315"/>
      <c r="E87" s="319" t="s">
        <v>181</v>
      </c>
      <c r="F87" s="203"/>
      <c r="G87" s="203"/>
      <c r="H87" s="203"/>
      <c r="I87" s="203"/>
      <c r="J87" s="203"/>
      <c r="K87" s="316"/>
      <c r="L87" s="317"/>
      <c r="M87" s="318">
        <f t="shared" si="23"/>
        <v>0</v>
      </c>
    </row>
    <row r="88" spans="2:13" s="313" customFormat="1" ht="90" outlineLevel="1" x14ac:dyDescent="0.2">
      <c r="B88" s="314" t="s">
        <v>561</v>
      </c>
      <c r="C88" s="315" t="str">
        <f>VLOOKUP(D88,Fontes!$A$6:$H$11629,8,FALSE)</f>
        <v>SINAPI / RJ</v>
      </c>
      <c r="D88" s="315">
        <v>102278</v>
      </c>
      <c r="E88" s="204" t="str">
        <f>VLOOKUP(D88,Fontes!$A$6:$H$11629,2,FALSE)</f>
        <v>Escavação mecanizada de vala com prof. maior que 1,50 m até 3,0 m (média montante e jusante/uma composição por trecho), escavadeira (1,2 m3), larg. de 1,5 m a 2,5 m, em solo de 1a categoria, em locais com alto nível de interferência. af_02/2021</v>
      </c>
      <c r="F88" s="203">
        <v>839.7</v>
      </c>
      <c r="G88" s="203" t="str">
        <f>VLOOKUP(D88,Fontes!$A$6:$L$11629,3,FALSE)</f>
        <v>m3</v>
      </c>
      <c r="H88" s="203">
        <v>2.7302758796267104</v>
      </c>
      <c r="I88" s="203">
        <v>3.4192673526396895</v>
      </c>
      <c r="J88" s="203">
        <v>4.5204567677336005</v>
      </c>
      <c r="K88" s="316">
        <f t="shared" ref="K88:K96" si="24">ROUND(+H88+I88+J88,2)</f>
        <v>10.67</v>
      </c>
      <c r="L88" s="317">
        <f t="shared" ref="L88:L96" si="25">ROUND(F88*K88,2)</f>
        <v>8959.6</v>
      </c>
      <c r="M88" s="318">
        <f t="shared" si="23"/>
        <v>3.244676567155224E-4</v>
      </c>
    </row>
    <row r="89" spans="2:13" s="313" customFormat="1" ht="36" outlineLevel="1" x14ac:dyDescent="0.2">
      <c r="B89" s="314" t="s">
        <v>562</v>
      </c>
      <c r="C89" s="315" t="str">
        <f>VLOOKUP(D89,Fontes!$A$6:$H$11629,8,FALSE)</f>
        <v>SINAPI / RJ</v>
      </c>
      <c r="D89" s="315">
        <v>93358</v>
      </c>
      <c r="E89" s="204" t="str">
        <f>VLOOKUP(D89,Fontes!$A$6:$H$11629,2,FALSE)</f>
        <v>Escavação manual de vala com profundidade menor ou igual a 1,30 m</v>
      </c>
      <c r="F89" s="203">
        <f>559.8+300.7+14.28</f>
        <v>874.78</v>
      </c>
      <c r="G89" s="203" t="str">
        <f>VLOOKUP(D89,Fontes!$A$6:$L$11629,3,FALSE)</f>
        <v>m3</v>
      </c>
      <c r="H89" s="203">
        <v>40.028525811601924</v>
      </c>
      <c r="I89" s="203">
        <v>87.021474188398088</v>
      </c>
      <c r="J89" s="203">
        <v>0</v>
      </c>
      <c r="K89" s="316">
        <f t="shared" si="24"/>
        <v>127.05</v>
      </c>
      <c r="L89" s="317">
        <f t="shared" si="25"/>
        <v>111140.8</v>
      </c>
      <c r="M89" s="318">
        <f t="shared" si="23"/>
        <v>4.0249112618296048E-3</v>
      </c>
    </row>
    <row r="90" spans="2:13" s="313" customFormat="1" ht="54" outlineLevel="1" x14ac:dyDescent="0.2">
      <c r="B90" s="314" t="s">
        <v>1973</v>
      </c>
      <c r="C90" s="315" t="str">
        <f>VLOOKUP(D90,Fontes!$A$6:$H$11629,8,FALSE)</f>
        <v>SINAPI / RJ</v>
      </c>
      <c r="D90" s="315">
        <v>96385</v>
      </c>
      <c r="E90" s="204" t="str">
        <f>VLOOKUP(D90,Fontes!$A$6:$H$11629,2,FALSE)</f>
        <v>Execução e compactação de aterro com solo predominantemente argiloso - exclusive solo, escavação, carga e transporte</v>
      </c>
      <c r="F90" s="203">
        <v>225.69</v>
      </c>
      <c r="G90" s="203" t="str">
        <f>VLOOKUP(D90,Fontes!$A$6:$L$11629,3,FALSE)</f>
        <v>m3</v>
      </c>
      <c r="H90" s="203">
        <v>3.3793211488250652</v>
      </c>
      <c r="I90" s="203">
        <v>4.8368146214099221</v>
      </c>
      <c r="J90" s="203">
        <v>6.603864229765013</v>
      </c>
      <c r="K90" s="316">
        <f t="shared" si="24"/>
        <v>14.82</v>
      </c>
      <c r="L90" s="317">
        <f t="shared" si="25"/>
        <v>3344.73</v>
      </c>
      <c r="M90" s="318">
        <f t="shared" si="23"/>
        <v>1.2112780765280918E-4</v>
      </c>
    </row>
    <row r="91" spans="2:13" s="313" customFormat="1" ht="18" outlineLevel="1" x14ac:dyDescent="0.2">
      <c r="B91" s="314" t="s">
        <v>563</v>
      </c>
      <c r="C91" s="315" t="str">
        <f>VLOOKUP(D91,Fontes!$A$6:$H$11629,8,FALSE)</f>
        <v>SINAPI / RJ</v>
      </c>
      <c r="D91" s="315">
        <v>101616</v>
      </c>
      <c r="E91" s="204" t="str">
        <f>VLOOKUP(D91,Fontes!$A$6:$H$11629,2,FALSE)</f>
        <v>Preparo de fundo de vala com largura menor que 1,50 m</v>
      </c>
      <c r="F91" s="203">
        <f>(344.9+30.7)-F92</f>
        <v>166.16999999999996</v>
      </c>
      <c r="G91" s="203" t="str">
        <f>VLOOKUP(D91,Fontes!$A$6:$L$11629,3,FALSE)</f>
        <v>m2</v>
      </c>
      <c r="H91" s="203">
        <v>3.0609025787965618</v>
      </c>
      <c r="I91" s="203">
        <v>8.0090974212034389</v>
      </c>
      <c r="J91" s="203">
        <v>0</v>
      </c>
      <c r="K91" s="316">
        <f t="shared" si="24"/>
        <v>11.07</v>
      </c>
      <c r="L91" s="317">
        <f t="shared" si="25"/>
        <v>1839.5</v>
      </c>
      <c r="M91" s="318">
        <f t="shared" si="23"/>
        <v>6.6616618434774257E-5</v>
      </c>
    </row>
    <row r="92" spans="2:13" s="313" customFormat="1" ht="54" outlineLevel="1" x14ac:dyDescent="0.2">
      <c r="B92" s="314" t="s">
        <v>564</v>
      </c>
      <c r="C92" s="315" t="str">
        <f>VLOOKUP(D92,Fontes!$A$6:$H$11629,8,FALSE)</f>
        <v>SINAPI / RJ</v>
      </c>
      <c r="D92" s="315">
        <v>97084</v>
      </c>
      <c r="E92" s="204" t="str">
        <f>VLOOKUP(D92,Fontes!$A$6:$H$11629,2,FALSE)</f>
        <v>Compactação mecânica de solo para execução de radier, piso de concreto ou laje sobre solo, com compactador de solos tipo placa vibratória</v>
      </c>
      <c r="F92" s="203">
        <v>209.43</v>
      </c>
      <c r="G92" s="203" t="str">
        <f>VLOOKUP(D92,Fontes!$A$6:$L$11629,3,FALSE)</f>
        <v>m2</v>
      </c>
      <c r="H92" s="203">
        <v>0.28090909090909089</v>
      </c>
      <c r="I92" s="203">
        <v>0.74909090909090914</v>
      </c>
      <c r="J92" s="203">
        <v>0</v>
      </c>
      <c r="K92" s="316">
        <f t="shared" si="24"/>
        <v>1.03</v>
      </c>
      <c r="L92" s="317">
        <f t="shared" si="25"/>
        <v>215.71</v>
      </c>
      <c r="M92" s="318">
        <f t="shared" si="23"/>
        <v>7.8118351522506954E-6</v>
      </c>
    </row>
    <row r="93" spans="2:13" s="313" customFormat="1" ht="90" outlineLevel="1" x14ac:dyDescent="0.2">
      <c r="B93" s="314" t="s">
        <v>565</v>
      </c>
      <c r="C93" s="315" t="str">
        <f>VLOOKUP(D93,Fontes!$A$6:$H$11629,8,FALSE)</f>
        <v>SINAPI / RJ</v>
      </c>
      <c r="D93" s="315">
        <v>93372</v>
      </c>
      <c r="E93" s="204" t="str">
        <f>VLOOKUP(D93,Fontes!$A$6:$H$11629,2,FALSE)</f>
        <v>Reaterro mecanizado de vala com escavadeira hidráulica (capacidade da caçamba: 0,8 m³ / potência: 111 hp), largura até 1,5 m, profundidade de 4,5 a 6,0 m, com solo de 1ª categoria em locais com baixo nível de interferência. af_04/2016</v>
      </c>
      <c r="F93" s="203">
        <v>562.1</v>
      </c>
      <c r="G93" s="203" t="str">
        <f>VLOOKUP(D93,Fontes!$A$6:$L$11629,3,FALSE)</f>
        <v>m3</v>
      </c>
      <c r="H93" s="203">
        <v>6.0585517241379305</v>
      </c>
      <c r="I93" s="203">
        <v>5.6710862068965513</v>
      </c>
      <c r="J93" s="203">
        <v>8.7003620689655161</v>
      </c>
      <c r="K93" s="316">
        <f t="shared" si="24"/>
        <v>20.43</v>
      </c>
      <c r="L93" s="317">
        <f t="shared" si="25"/>
        <v>11483.7</v>
      </c>
      <c r="M93" s="318">
        <f t="shared" si="23"/>
        <v>4.1587673885263232E-4</v>
      </c>
    </row>
    <row r="94" spans="2:13" s="313" customFormat="1" ht="18" outlineLevel="1" x14ac:dyDescent="0.2">
      <c r="B94" s="314" t="s">
        <v>566</v>
      </c>
      <c r="C94" s="315" t="str">
        <f>VLOOKUP(D94,Fontes!$A$6:$H$11629,8,FALSE)</f>
        <v>SINAPI / RJ</v>
      </c>
      <c r="D94" s="315">
        <v>93382</v>
      </c>
      <c r="E94" s="204" t="str">
        <f>VLOOKUP(D94,Fontes!$A$6:$H$11629,2,FALSE)</f>
        <v>Reaterro manual de valas com compactação mecanizada</v>
      </c>
      <c r="F94" s="203">
        <f>198.9+6.65</f>
        <v>205.55</v>
      </c>
      <c r="G94" s="203" t="str">
        <f>VLOOKUP(D94,Fontes!$A$6:$L$11629,3,FALSE)</f>
        <v>m3</v>
      </c>
      <c r="H94" s="203">
        <v>11.335305323590813</v>
      </c>
      <c r="I94" s="203">
        <v>25.437729645093942</v>
      </c>
      <c r="J94" s="203">
        <v>1.0969650313152401</v>
      </c>
      <c r="K94" s="316">
        <f t="shared" si="24"/>
        <v>37.869999999999997</v>
      </c>
      <c r="L94" s="317">
        <f t="shared" si="25"/>
        <v>7784.18</v>
      </c>
      <c r="M94" s="318">
        <f t="shared" si="23"/>
        <v>2.8190037993346074E-4</v>
      </c>
    </row>
    <row r="95" spans="2:13" s="313" customFormat="1" ht="54" outlineLevel="1" x14ac:dyDescent="0.2">
      <c r="B95" s="314" t="s">
        <v>567</v>
      </c>
      <c r="C95" s="315" t="str">
        <f>VLOOKUP(D95,Fontes!$A$6:$H$11629,8,FALSE)</f>
        <v>SINAPI / RJ</v>
      </c>
      <c r="D95" s="315">
        <v>100977</v>
      </c>
      <c r="E95" s="204" t="str">
        <f>VLOOKUP(D95,Fontes!$A$6:$H$11629,2,FALSE)</f>
        <v>Carga, manobra e descarga de solos e materiais granulares em caminhão basculante 6 m³ - carga com escavadeira hidráulica (caçamba de 1,20 m³ / 155 hp) e descarga livre</v>
      </c>
      <c r="F95" s="203">
        <f>1088.6+132.42+36.67+9.92</f>
        <v>1267.6100000000001</v>
      </c>
      <c r="G95" s="203" t="str">
        <f>VLOOKUP(D95,Fontes!$A$6:$L$11629,3,FALSE)</f>
        <v>m3</v>
      </c>
      <c r="H95" s="203">
        <v>3.3952941176470586</v>
      </c>
      <c r="I95" s="203">
        <v>1.9805882352941173</v>
      </c>
      <c r="J95" s="203">
        <v>4.2441176470588227</v>
      </c>
      <c r="K95" s="316">
        <f t="shared" si="24"/>
        <v>9.6199999999999992</v>
      </c>
      <c r="L95" s="317">
        <f t="shared" si="25"/>
        <v>12194.41</v>
      </c>
      <c r="M95" s="318">
        <f t="shared" si="23"/>
        <v>4.4161476379842105E-4</v>
      </c>
    </row>
    <row r="96" spans="2:13" s="313" customFormat="1" ht="36" outlineLevel="1" x14ac:dyDescent="0.2">
      <c r="B96" s="314" t="s">
        <v>568</v>
      </c>
      <c r="C96" s="315" t="str">
        <f>VLOOKUP(D96,Fontes!$A$6:$H$11629,8,FALSE)</f>
        <v>SINAPI / RJ</v>
      </c>
      <c r="D96" s="315">
        <v>97918</v>
      </c>
      <c r="E96" s="204" t="str">
        <f>VLOOKUP(D96,Fontes!$A$6:$H$11629,2,FALSE)</f>
        <v>Transporte com caminhão basculante de 6 m³, em via urbana pavimentada, dmt até 30 km</v>
      </c>
      <c r="F96" s="203">
        <f>F95*30</f>
        <v>38028.300000000003</v>
      </c>
      <c r="G96" s="203" t="str">
        <f>VLOOKUP(D96,Fontes!$A$6:$L$11629,3,FALSE)</f>
        <v>txkm</v>
      </c>
      <c r="H96" s="203">
        <v>1.2035882352941174</v>
      </c>
      <c r="I96" s="203">
        <v>0.44182352941176462</v>
      </c>
      <c r="J96" s="203">
        <v>0.94458823529411751</v>
      </c>
      <c r="K96" s="316">
        <f t="shared" si="24"/>
        <v>2.59</v>
      </c>
      <c r="L96" s="317">
        <f t="shared" si="25"/>
        <v>98493.3</v>
      </c>
      <c r="M96" s="318">
        <f t="shared" si="23"/>
        <v>3.5668880589734987E-3</v>
      </c>
    </row>
    <row r="97" spans="2:13" s="313" customFormat="1" ht="18" outlineLevel="1" x14ac:dyDescent="0.2">
      <c r="B97" s="314" t="s">
        <v>569</v>
      </c>
      <c r="C97" s="315"/>
      <c r="D97" s="315"/>
      <c r="E97" s="319" t="s">
        <v>1068</v>
      </c>
      <c r="F97" s="203"/>
      <c r="G97" s="203"/>
      <c r="H97" s="203"/>
      <c r="I97" s="203"/>
      <c r="J97" s="203"/>
      <c r="K97" s="316"/>
      <c r="L97" s="317"/>
      <c r="M97" s="318">
        <f t="shared" si="23"/>
        <v>0</v>
      </c>
    </row>
    <row r="98" spans="2:13" s="313" customFormat="1" ht="36" outlineLevel="1" x14ac:dyDescent="0.2">
      <c r="B98" s="314" t="s">
        <v>570</v>
      </c>
      <c r="C98" s="315" t="str">
        <f>VLOOKUP(D98,Fontes!$A$6:$H$11629,8,FALSE)</f>
        <v>SINAPI / RJ</v>
      </c>
      <c r="D98" s="315">
        <v>96619</v>
      </c>
      <c r="E98" s="204" t="str">
        <f>VLOOKUP(D98,Fontes!$A$6:$H$11629,2,FALSE)</f>
        <v>Lastro de concreto magro, aplicado em blocos de coroamento ou sapatas, espessura de 5 cm</v>
      </c>
      <c r="F98" s="203">
        <f>(17.25/0.05)+30.7</f>
        <v>375.7</v>
      </c>
      <c r="G98" s="203" t="str">
        <f>VLOOKUP(D98,Fontes!$A$6:$L$11629,3,FALSE)</f>
        <v>m2</v>
      </c>
      <c r="H98" s="203">
        <v>28.082527509169715</v>
      </c>
      <c r="I98" s="203">
        <v>18.638012670890294</v>
      </c>
      <c r="J98" s="203">
        <v>0.32945981993997997</v>
      </c>
      <c r="K98" s="316">
        <f t="shared" ref="K98:K109" si="26">ROUND(+H98+I98+J98,2)</f>
        <v>47.05</v>
      </c>
      <c r="L98" s="317">
        <f t="shared" ref="L98:L109" si="27">ROUND(F98*K98,2)</f>
        <v>17676.689999999999</v>
      </c>
      <c r="M98" s="318">
        <f t="shared" si="23"/>
        <v>6.4015292901320442E-4</v>
      </c>
    </row>
    <row r="99" spans="2:13" s="313" customFormat="1" ht="18" outlineLevel="1" x14ac:dyDescent="0.2">
      <c r="B99" s="314" t="s">
        <v>571</v>
      </c>
      <c r="C99" s="315" t="str">
        <f>VLOOKUP(D99,Fontes!$A$6:$H$11629,8,FALSE)</f>
        <v>CDHU</v>
      </c>
      <c r="D99" s="389" t="s">
        <v>2354</v>
      </c>
      <c r="E99" s="204" t="str">
        <f>VLOOKUP(D99,Fontes!$A$6:$H$11629,2,FALSE)</f>
        <v>Forma em madeira comum para fundação</v>
      </c>
      <c r="F99" s="203">
        <f>(787.96+75.34)-F100</f>
        <v>398.81000000000006</v>
      </c>
      <c r="G99" s="203" t="str">
        <f>VLOOKUP(D99,Fontes!$A$6:$L$11629,3,FALSE)</f>
        <v>m2</v>
      </c>
      <c r="H99" s="203">
        <v>65.45</v>
      </c>
      <c r="I99" s="203">
        <v>44.61</v>
      </c>
      <c r="J99" s="203">
        <v>0</v>
      </c>
      <c r="K99" s="316">
        <f t="shared" si="26"/>
        <v>110.06</v>
      </c>
      <c r="L99" s="317">
        <f t="shared" si="27"/>
        <v>43893.03</v>
      </c>
      <c r="M99" s="318">
        <f t="shared" si="23"/>
        <v>1.5895652250372924E-3</v>
      </c>
    </row>
    <row r="100" spans="2:13" s="313" customFormat="1" ht="18" outlineLevel="1" x14ac:dyDescent="0.2">
      <c r="B100" s="314" t="s">
        <v>1974</v>
      </c>
      <c r="C100" s="315" t="str">
        <f>VLOOKUP(D100,Fontes!$A$6:$H$11629,8,FALSE)</f>
        <v>CDHU</v>
      </c>
      <c r="D100" s="315" t="s">
        <v>2356</v>
      </c>
      <c r="E100" s="204" t="str">
        <f>VLOOKUP(D100,Fontes!$A$6:$H$11629,2,FALSE)</f>
        <v>Forma plana em compensado para estrutura aparente</v>
      </c>
      <c r="F100" s="203">
        <v>464.49</v>
      </c>
      <c r="G100" s="203" t="str">
        <f>VLOOKUP(D100,Fontes!$A$6:$L$11629,3,FALSE)</f>
        <v>m2</v>
      </c>
      <c r="H100" s="203">
        <v>129.09</v>
      </c>
      <c r="I100" s="203">
        <v>70.489999999999995</v>
      </c>
      <c r="J100" s="203">
        <v>0</v>
      </c>
      <c r="K100" s="316">
        <f t="shared" si="26"/>
        <v>199.58</v>
      </c>
      <c r="L100" s="317">
        <f t="shared" si="27"/>
        <v>92702.91</v>
      </c>
      <c r="M100" s="318">
        <f t="shared" si="23"/>
        <v>3.357191836511671E-3</v>
      </c>
    </row>
    <row r="101" spans="2:13" s="313" customFormat="1" ht="36" outlineLevel="1" x14ac:dyDescent="0.2">
      <c r="B101" s="314" t="s">
        <v>572</v>
      </c>
      <c r="C101" s="315" t="str">
        <f>VLOOKUP(D101,Fontes!$A$6:$H$11629,8,FALSE)</f>
        <v>SINAPI / RJ</v>
      </c>
      <c r="D101" s="315">
        <v>96544</v>
      </c>
      <c r="E101" s="204" t="str">
        <f>VLOOKUP(D101,Fontes!$A$6:$H$11629,2,FALSE)</f>
        <v>Armação de bloco, viga baldrame ou sapata utilizando aço ca-50 de 6,3 mm</v>
      </c>
      <c r="F101" s="203">
        <v>707.96</v>
      </c>
      <c r="G101" s="203" t="str">
        <f>VLOOKUP(D101,Fontes!$A$6:$L$11629,3,FALSE)</f>
        <v>kg</v>
      </c>
      <c r="H101" s="203">
        <v>16.107788177339899</v>
      </c>
      <c r="I101" s="203">
        <v>5.3622118226600985</v>
      </c>
      <c r="J101" s="203">
        <v>0</v>
      </c>
      <c r="K101" s="316">
        <f t="shared" si="26"/>
        <v>21.47</v>
      </c>
      <c r="L101" s="317">
        <f t="shared" si="27"/>
        <v>15199.9</v>
      </c>
      <c r="M101" s="318">
        <f t="shared" si="23"/>
        <v>5.5045715604605874E-4</v>
      </c>
    </row>
    <row r="102" spans="2:13" s="313" customFormat="1" ht="36" outlineLevel="1" x14ac:dyDescent="0.2">
      <c r="B102" s="314" t="s">
        <v>573</v>
      </c>
      <c r="C102" s="315" t="str">
        <f>VLOOKUP(D102,Fontes!$A$6:$H$11629,8,FALSE)</f>
        <v>SINAPI / RJ</v>
      </c>
      <c r="D102" s="315">
        <v>96545</v>
      </c>
      <c r="E102" s="204" t="str">
        <f>VLOOKUP(D102,Fontes!$A$6:$H$11629,2,FALSE)</f>
        <v>Armação de bloco, viga baldrame ou sapata utilizando aço ca-50 de 8 mm</v>
      </c>
      <c r="F102" s="203">
        <v>1895.01</v>
      </c>
      <c r="G102" s="203" t="str">
        <f>VLOOKUP(D102,Fontes!$A$6:$L$11629,3,FALSE)</f>
        <v>kg</v>
      </c>
      <c r="H102" s="203">
        <v>15.077434805747739</v>
      </c>
      <c r="I102" s="203">
        <v>3.6225651942522621</v>
      </c>
      <c r="J102" s="203">
        <v>0</v>
      </c>
      <c r="K102" s="316">
        <f t="shared" si="26"/>
        <v>18.7</v>
      </c>
      <c r="L102" s="317">
        <f t="shared" si="27"/>
        <v>35436.69</v>
      </c>
      <c r="M102" s="318">
        <f t="shared" si="23"/>
        <v>1.2833228900904488E-3</v>
      </c>
    </row>
    <row r="103" spans="2:13" s="313" customFormat="1" ht="36" outlineLevel="1" x14ac:dyDescent="0.2">
      <c r="B103" s="314" t="s">
        <v>574</v>
      </c>
      <c r="C103" s="315" t="str">
        <f>VLOOKUP(D103,Fontes!$A$6:$H$11629,8,FALSE)</f>
        <v>SINAPI / RJ</v>
      </c>
      <c r="D103" s="315">
        <v>96546</v>
      </c>
      <c r="E103" s="204" t="str">
        <f>VLOOKUP(D103,Fontes!$A$6:$H$11629,2,FALSE)</f>
        <v>Armação de bloco, viga baldrame ou sapata utilizando aço ca-50 de 10 mm</v>
      </c>
      <c r="F103" s="203">
        <v>4363.83</v>
      </c>
      <c r="G103" s="203" t="str">
        <f>VLOOKUP(D103,Fontes!$A$6:$L$11629,3,FALSE)</f>
        <v>kg</v>
      </c>
      <c r="H103" s="203">
        <v>13.44724820143885</v>
      </c>
      <c r="I103" s="203">
        <v>2.5627517985611514</v>
      </c>
      <c r="J103" s="203">
        <v>0</v>
      </c>
      <c r="K103" s="316">
        <f t="shared" si="26"/>
        <v>16.010000000000002</v>
      </c>
      <c r="L103" s="317">
        <f t="shared" si="27"/>
        <v>69864.92</v>
      </c>
      <c r="M103" s="318">
        <f t="shared" si="23"/>
        <v>2.5301248804653594E-3</v>
      </c>
    </row>
    <row r="104" spans="2:13" s="313" customFormat="1" ht="36" outlineLevel="1" x14ac:dyDescent="0.2">
      <c r="B104" s="314" t="s">
        <v>575</v>
      </c>
      <c r="C104" s="315" t="str">
        <f>VLOOKUP(D104,Fontes!$A$6:$H$11629,8,FALSE)</f>
        <v>SINAPI / RJ</v>
      </c>
      <c r="D104" s="315">
        <v>104920</v>
      </c>
      <c r="E104" s="204" t="str">
        <f>VLOOKUP(D104,Fontes!$A$6:$H$11629,2,FALSE)</f>
        <v>Armação de bloco, viga baldrame ou sapata utilizando aço ca-50 de 12,5 mm</v>
      </c>
      <c r="F104" s="203">
        <f>5220.3+518.4</f>
        <v>5738.7</v>
      </c>
      <c r="G104" s="203" t="str">
        <f>VLOOKUP(D104,Fontes!$A$6:$L$11629,3,FALSE)</f>
        <v>kg</v>
      </c>
      <c r="H104" s="203">
        <v>10.212009978617248</v>
      </c>
      <c r="I104" s="203">
        <v>1.6779900213827512</v>
      </c>
      <c r="J104" s="203">
        <v>0</v>
      </c>
      <c r="K104" s="316">
        <f t="shared" si="26"/>
        <v>11.89</v>
      </c>
      <c r="L104" s="317">
        <f t="shared" si="27"/>
        <v>68233.14</v>
      </c>
      <c r="M104" s="318">
        <f t="shared" si="23"/>
        <v>2.4710307431294008E-3</v>
      </c>
    </row>
    <row r="105" spans="2:13" s="313" customFormat="1" ht="36" outlineLevel="1" x14ac:dyDescent="0.2">
      <c r="B105" s="314" t="s">
        <v>576</v>
      </c>
      <c r="C105" s="315" t="str">
        <f>VLOOKUP(D105,Fontes!$A$6:$H$11629,8,FALSE)</f>
        <v>SINAPI / RJ</v>
      </c>
      <c r="D105" s="315">
        <v>104921</v>
      </c>
      <c r="E105" s="204" t="str">
        <f>VLOOKUP(D105,Fontes!$A$6:$H$11629,2,FALSE)</f>
        <v>Armação de bloco, viga baldrame ou sapata utilizando aço ca-50 de 16 mm</v>
      </c>
      <c r="F105" s="203">
        <v>761.98</v>
      </c>
      <c r="G105" s="203" t="str">
        <f>VLOOKUP(D105,Fontes!$A$6:$L$11629,3,FALSE)</f>
        <v>kg</v>
      </c>
      <c r="H105" s="203">
        <v>9.8240045420136255</v>
      </c>
      <c r="I105" s="203">
        <v>1.1459954579863738</v>
      </c>
      <c r="J105" s="203">
        <v>0</v>
      </c>
      <c r="K105" s="316">
        <f t="shared" si="26"/>
        <v>10.97</v>
      </c>
      <c r="L105" s="317">
        <f t="shared" si="27"/>
        <v>8358.92</v>
      </c>
      <c r="M105" s="318">
        <f t="shared" si="23"/>
        <v>3.0271431593737602E-4</v>
      </c>
    </row>
    <row r="106" spans="2:13" s="313" customFormat="1" ht="36" outlineLevel="1" x14ac:dyDescent="0.2">
      <c r="B106" s="314" t="s">
        <v>577</v>
      </c>
      <c r="C106" s="315" t="str">
        <f>VLOOKUP(D106,Fontes!$A$6:$H$11629,8,FALSE)</f>
        <v>SINAPI / RJ</v>
      </c>
      <c r="D106" s="315">
        <v>104922</v>
      </c>
      <c r="E106" s="204" t="str">
        <f>VLOOKUP(D106,Fontes!$A$6:$H$11629,2,FALSE)</f>
        <v>Armação de bloco, viga baldrame ou sapata utilizando aço ca-50 de 20 mm</v>
      </c>
      <c r="F106" s="203">
        <v>4717.37</v>
      </c>
      <c r="G106" s="203" t="str">
        <f>VLOOKUP(D106,Fontes!$A$6:$L$11629,3,FALSE)</f>
        <v>kg</v>
      </c>
      <c r="H106" s="203">
        <v>10.984121667805878</v>
      </c>
      <c r="I106" s="203">
        <v>0.80587833219412153</v>
      </c>
      <c r="J106" s="203">
        <v>0</v>
      </c>
      <c r="K106" s="316">
        <f t="shared" si="26"/>
        <v>11.79</v>
      </c>
      <c r="L106" s="317">
        <f t="shared" si="27"/>
        <v>55617.79</v>
      </c>
      <c r="M106" s="318">
        <f t="shared" si="23"/>
        <v>2.0141718372467536E-3</v>
      </c>
    </row>
    <row r="107" spans="2:13" s="313" customFormat="1" ht="36" outlineLevel="1" x14ac:dyDescent="0.2">
      <c r="B107" s="314" t="s">
        <v>578</v>
      </c>
      <c r="C107" s="315" t="str">
        <f>VLOOKUP(D107,Fontes!$A$6:$H$11629,8,FALSE)</f>
        <v>SINAPI / RJ</v>
      </c>
      <c r="D107" s="315">
        <v>104915</v>
      </c>
      <c r="E107" s="204" t="str">
        <f>VLOOKUP(D107,Fontes!$A$6:$H$11629,2,FALSE)</f>
        <v>Armação de bloco, viga baldrame ou sapata utilizando aço ca-50 de 25 mm</v>
      </c>
      <c r="F107" s="203">
        <v>1421</v>
      </c>
      <c r="G107" s="203" t="str">
        <f>VLOOKUP(D107,Fontes!$A$6:$L$11629,3,FALSE)</f>
        <v>kg</v>
      </c>
      <c r="H107" s="203">
        <v>9.8233638282899349</v>
      </c>
      <c r="I107" s="203">
        <v>0.51663617171006326</v>
      </c>
      <c r="J107" s="203">
        <v>0</v>
      </c>
      <c r="K107" s="316">
        <f t="shared" si="26"/>
        <v>10.34</v>
      </c>
      <c r="L107" s="317">
        <f t="shared" si="27"/>
        <v>14693.14</v>
      </c>
      <c r="M107" s="318">
        <f t="shared" si="23"/>
        <v>5.321050834404561E-4</v>
      </c>
    </row>
    <row r="108" spans="2:13" s="313" customFormat="1" ht="18" outlineLevel="1" x14ac:dyDescent="0.2">
      <c r="B108" s="314" t="s">
        <v>579</v>
      </c>
      <c r="C108" s="315" t="str">
        <f>VLOOKUP(D108,Fontes!$A$6:$H$11629,8,FALSE)</f>
        <v>SBC / RJ</v>
      </c>
      <c r="D108" s="315">
        <v>40630</v>
      </c>
      <c r="E108" s="204" t="str">
        <f>VLOOKUP(D108,Fontes!$A$6:$H$11629,2,FALSE)</f>
        <v>Concreto usinado bombeável 40 Mpa</v>
      </c>
      <c r="F108" s="203">
        <f>187.78+6.1</f>
        <v>193.88</v>
      </c>
      <c r="G108" s="203" t="str">
        <f>VLOOKUP(D108,Fontes!$A$6:$L$11629,3,FALSE)</f>
        <v>m3</v>
      </c>
      <c r="H108" s="203">
        <v>608.34</v>
      </c>
      <c r="I108" s="203">
        <v>277.00999999999993</v>
      </c>
      <c r="J108" s="203">
        <v>2.42</v>
      </c>
      <c r="K108" s="316">
        <f t="shared" si="26"/>
        <v>887.77</v>
      </c>
      <c r="L108" s="317">
        <f t="shared" si="27"/>
        <v>172120.85</v>
      </c>
      <c r="M108" s="318">
        <f t="shared" si="23"/>
        <v>6.2332747970203937E-3</v>
      </c>
    </row>
    <row r="109" spans="2:13" s="313" customFormat="1" ht="36" outlineLevel="1" x14ac:dyDescent="0.2">
      <c r="B109" s="314" t="s">
        <v>1975</v>
      </c>
      <c r="C109" s="315" t="str">
        <f>VLOOKUP(D109,Fontes!$A$6:$H$11629,8,FALSE)</f>
        <v>SINAPI / RJ</v>
      </c>
      <c r="D109" s="315">
        <v>103673</v>
      </c>
      <c r="E109" s="204" t="str">
        <f>VLOOKUP(D109,Fontes!$A$6:$H$11629,2,FALSE)</f>
        <v>Lançamento com uso de bomba, adensamento e acabamento de concreto em estruturas</v>
      </c>
      <c r="F109" s="203">
        <f>F108</f>
        <v>193.88</v>
      </c>
      <c r="G109" s="203" t="str">
        <f>VLOOKUP(D109,Fontes!$A$6:$L$11629,3,FALSE)</f>
        <v>m3</v>
      </c>
      <c r="H109" s="203">
        <v>18.166488147497805</v>
      </c>
      <c r="I109" s="203">
        <v>43.363854258121158</v>
      </c>
      <c r="J109" s="203">
        <v>0.18965759438103599</v>
      </c>
      <c r="K109" s="316">
        <f t="shared" si="26"/>
        <v>61.72</v>
      </c>
      <c r="L109" s="317">
        <f t="shared" si="27"/>
        <v>11966.27</v>
      </c>
      <c r="M109" s="318">
        <f t="shared" si="23"/>
        <v>4.3335278210246598E-4</v>
      </c>
    </row>
    <row r="110" spans="2:13" s="109" customFormat="1" ht="18" outlineLevel="1" x14ac:dyDescent="0.2">
      <c r="B110" s="114"/>
      <c r="C110" s="115"/>
      <c r="D110" s="115"/>
      <c r="E110" s="116"/>
      <c r="F110" s="117"/>
      <c r="G110" s="117"/>
      <c r="H110" s="117"/>
      <c r="I110" s="117"/>
      <c r="J110" s="117"/>
      <c r="K110" s="118"/>
      <c r="L110" s="119"/>
      <c r="M110" s="120">
        <f t="shared" si="23"/>
        <v>0</v>
      </c>
    </row>
    <row r="111" spans="2:13" s="109" customFormat="1" ht="18" outlineLevel="1" x14ac:dyDescent="0.2">
      <c r="B111" s="114"/>
      <c r="C111" s="115"/>
      <c r="D111" s="115"/>
      <c r="E111" s="116"/>
      <c r="F111" s="117"/>
      <c r="G111" s="117"/>
      <c r="H111" s="117"/>
      <c r="I111" s="117"/>
      <c r="J111" s="117"/>
      <c r="K111" s="118"/>
      <c r="L111" s="119"/>
      <c r="M111" s="120">
        <f t="shared" si="23"/>
        <v>0</v>
      </c>
    </row>
    <row r="112" spans="2:13" s="109" customFormat="1" ht="25.5" customHeight="1" outlineLevel="1" x14ac:dyDescent="0.2">
      <c r="B112" s="206">
        <v>5</v>
      </c>
      <c r="C112" s="207"/>
      <c r="D112" s="207"/>
      <c r="E112" s="309" t="s">
        <v>184</v>
      </c>
      <c r="F112" s="209"/>
      <c r="G112" s="205"/>
      <c r="H112" s="210"/>
      <c r="I112" s="210"/>
      <c r="J112" s="209"/>
      <c r="K112" s="209"/>
      <c r="L112" s="211">
        <f>SUBTOTAL(9,L113:L154)</f>
        <v>4964538.59</v>
      </c>
      <c r="M112" s="212">
        <f t="shared" si="23"/>
        <v>0.1797884060640077</v>
      </c>
    </row>
    <row r="113" spans="2:13" s="109" customFormat="1" ht="25.5" customHeight="1" outlineLevel="1" x14ac:dyDescent="0.2">
      <c r="B113" s="217" t="s">
        <v>580</v>
      </c>
      <c r="C113" s="218"/>
      <c r="D113" s="218"/>
      <c r="E113" s="311" t="s">
        <v>185</v>
      </c>
      <c r="F113" s="219"/>
      <c r="G113" s="220"/>
      <c r="H113" s="221"/>
      <c r="I113" s="221"/>
      <c r="J113" s="219"/>
      <c r="K113" s="219"/>
      <c r="L113" s="222">
        <f>SUBTOTAL(9,L114:L140)</f>
        <v>2432633.23</v>
      </c>
      <c r="M113" s="223">
        <f t="shared" si="23"/>
        <v>8.8096656523328321E-2</v>
      </c>
    </row>
    <row r="114" spans="2:13" s="313" customFormat="1" ht="18" outlineLevel="1" x14ac:dyDescent="0.2">
      <c r="B114" s="314" t="s">
        <v>581</v>
      </c>
      <c r="C114" s="315" t="str">
        <f>VLOOKUP(D114,Fontes!$A$6:$H$11629,8,FALSE)</f>
        <v>CDHU</v>
      </c>
      <c r="D114" s="315" t="s">
        <v>2356</v>
      </c>
      <c r="E114" s="204" t="str">
        <f>VLOOKUP(D114,Fontes!$A$6:$H$11629,2,FALSE)</f>
        <v>Forma plana em compensado para estrutura aparente</v>
      </c>
      <c r="F114" s="203">
        <v>3319.37</v>
      </c>
      <c r="G114" s="203" t="str">
        <f>VLOOKUP(D114,Fontes!$A$6:$L$11629,3,FALSE)</f>
        <v>m2</v>
      </c>
      <c r="H114" s="203">
        <v>129.09</v>
      </c>
      <c r="I114" s="203">
        <v>70.489999999999995</v>
      </c>
      <c r="J114" s="203">
        <v>0</v>
      </c>
      <c r="K114" s="316">
        <f t="shared" ref="K114:K128" si="28">ROUND(+H114+I114+J114,2)</f>
        <v>199.58</v>
      </c>
      <c r="L114" s="317">
        <f t="shared" ref="L114:L128" si="29">ROUND(F114*K114,2)</f>
        <v>662479.86</v>
      </c>
      <c r="M114" s="318">
        <f t="shared" si="23"/>
        <v>2.3991393342942466E-2</v>
      </c>
    </row>
    <row r="115" spans="2:13" s="313" customFormat="1" ht="18" outlineLevel="1" x14ac:dyDescent="0.2">
      <c r="B115" s="314" t="s">
        <v>584</v>
      </c>
      <c r="C115" s="315" t="str">
        <f>VLOOKUP(D115,Fontes!$A$6:$H$11629,8,FALSE)</f>
        <v>SBC / RJ</v>
      </c>
      <c r="D115" s="315">
        <v>40338</v>
      </c>
      <c r="E115" s="204" t="str">
        <f>VLOOKUP(D115,Fontes!$A$6:$H$11629,2,FALSE)</f>
        <v>Cimbramento metálico</v>
      </c>
      <c r="F115" s="203">
        <v>640</v>
      </c>
      <c r="G115" s="203" t="str">
        <f>VLOOKUP(D115,Fontes!$A$6:$L$11629,3,FALSE)</f>
        <v>m3/mês</v>
      </c>
      <c r="H115" s="203">
        <v>0</v>
      </c>
      <c r="I115" s="203">
        <v>7.33</v>
      </c>
      <c r="J115" s="203">
        <v>19.414000000000001</v>
      </c>
      <c r="K115" s="316">
        <f t="shared" si="28"/>
        <v>26.74</v>
      </c>
      <c r="L115" s="317">
        <f t="shared" si="29"/>
        <v>17113.599999999999</v>
      </c>
      <c r="M115" s="318">
        <f t="shared" si="23"/>
        <v>6.1976089222362193E-4</v>
      </c>
    </row>
    <row r="116" spans="2:13" s="313" customFormat="1" ht="36" customHeight="1" outlineLevel="1" x14ac:dyDescent="0.2">
      <c r="B116" s="314" t="s">
        <v>585</v>
      </c>
      <c r="C116" s="315" t="str">
        <f>VLOOKUP(D116,Fontes!$A$6:$H$11629,8,FALSE)</f>
        <v>SBC / RJ</v>
      </c>
      <c r="D116" s="315">
        <v>40163</v>
      </c>
      <c r="E116" s="204" t="str">
        <f>VLOOKUP(D116,Fontes!$A$6:$H$11629,2,FALSE)</f>
        <v>Armação em aço CA-60 5,0 mm incluindo corte, dobra e colocação em formas</v>
      </c>
      <c r="F116" s="203">
        <v>73</v>
      </c>
      <c r="G116" s="203" t="str">
        <f>VLOOKUP(D116,Fontes!$A$6:$L$11629,3,FALSE)</f>
        <v>kg</v>
      </c>
      <c r="H116" s="203">
        <v>8.4599999999999991</v>
      </c>
      <c r="I116" s="203">
        <v>5.5500000000000007</v>
      </c>
      <c r="J116" s="203">
        <v>0</v>
      </c>
      <c r="K116" s="316">
        <f t="shared" si="28"/>
        <v>14.01</v>
      </c>
      <c r="L116" s="317">
        <f t="shared" si="29"/>
        <v>1022.73</v>
      </c>
      <c r="M116" s="318">
        <f t="shared" si="23"/>
        <v>3.7037680984939748E-5</v>
      </c>
    </row>
    <row r="117" spans="2:13" s="313" customFormat="1" ht="36" customHeight="1" outlineLevel="1" x14ac:dyDescent="0.2">
      <c r="B117" s="314" t="s">
        <v>586</v>
      </c>
      <c r="C117" s="315" t="str">
        <f>VLOOKUP(D117,Fontes!$A$6:$H$11629,8,FALSE)</f>
        <v>SBC / RJ</v>
      </c>
      <c r="D117" s="315">
        <v>40167</v>
      </c>
      <c r="E117" s="204" t="str">
        <f>VLOOKUP(D117,Fontes!$A$6:$H$11629,2,FALSE)</f>
        <v>Armação em aço CA-50 6,3 mm incluindo corte, dobra e colocação em formas</v>
      </c>
      <c r="F117" s="203">
        <v>6518.04</v>
      </c>
      <c r="G117" s="203" t="str">
        <f>VLOOKUP(D117,Fontes!$A$6:$L$11629,3,FALSE)</f>
        <v>kg</v>
      </c>
      <c r="H117" s="203">
        <v>10.3</v>
      </c>
      <c r="I117" s="203">
        <v>4.29</v>
      </c>
      <c r="J117" s="203">
        <v>0</v>
      </c>
      <c r="K117" s="316">
        <f t="shared" si="28"/>
        <v>14.59</v>
      </c>
      <c r="L117" s="317">
        <f t="shared" si="29"/>
        <v>95098.2</v>
      </c>
      <c r="M117" s="318">
        <f t="shared" si="23"/>
        <v>3.4439361257047286E-3</v>
      </c>
    </row>
    <row r="118" spans="2:13" s="313" customFormat="1" ht="36" customHeight="1" outlineLevel="1" x14ac:dyDescent="0.2">
      <c r="B118" s="314" t="s">
        <v>587</v>
      </c>
      <c r="C118" s="315" t="str">
        <f>VLOOKUP(D118,Fontes!$A$6:$H$11629,8,FALSE)</f>
        <v>SBC / RJ</v>
      </c>
      <c r="D118" s="315">
        <v>40206</v>
      </c>
      <c r="E118" s="204" t="str">
        <f>VLOOKUP(D118,Fontes!$A$6:$H$11629,2,FALSE)</f>
        <v>Armação em aço CA-50 8,0 mm incluindo corte, dobra e colocação em formas</v>
      </c>
      <c r="F118" s="203">
        <v>6321.99</v>
      </c>
      <c r="G118" s="203" t="str">
        <f>VLOOKUP(D118,Fontes!$A$6:$L$11629,3,FALSE)</f>
        <v>kg</v>
      </c>
      <c r="H118" s="203">
        <v>9.32</v>
      </c>
      <c r="I118" s="203">
        <v>3.89</v>
      </c>
      <c r="J118" s="203">
        <v>0</v>
      </c>
      <c r="K118" s="316">
        <f t="shared" si="28"/>
        <v>13.21</v>
      </c>
      <c r="L118" s="317">
        <f t="shared" si="29"/>
        <v>83513.490000000005</v>
      </c>
      <c r="M118" s="318">
        <f t="shared" ref="M118:M149" si="30">+L118/$L$851</f>
        <v>3.0244013576984701E-3</v>
      </c>
    </row>
    <row r="119" spans="2:13" s="313" customFormat="1" ht="36" outlineLevel="1" x14ac:dyDescent="0.2">
      <c r="B119" s="314" t="s">
        <v>588</v>
      </c>
      <c r="C119" s="315" t="str">
        <f>VLOOKUP(D119,Fontes!$A$6:$H$11629,8,FALSE)</f>
        <v>SBC / RJ</v>
      </c>
      <c r="D119" s="315">
        <v>40169</v>
      </c>
      <c r="E119" s="204" t="str">
        <f>VLOOKUP(D119,Fontes!$A$6:$H$11629,2,FALSE)</f>
        <v>Armação em aço CA-50 10,0 mm incluindo corte, dobra e colocação em formas</v>
      </c>
      <c r="F119" s="203">
        <v>2487.17</v>
      </c>
      <c r="G119" s="203" t="str">
        <f>VLOOKUP(D119,Fontes!$A$6:$L$11629,3,FALSE)</f>
        <v>kg</v>
      </c>
      <c r="H119" s="203">
        <v>10.42</v>
      </c>
      <c r="I119" s="203">
        <v>3.89</v>
      </c>
      <c r="J119" s="203">
        <v>0</v>
      </c>
      <c r="K119" s="316">
        <f t="shared" si="28"/>
        <v>14.31</v>
      </c>
      <c r="L119" s="317">
        <f t="shared" si="29"/>
        <v>35591.4</v>
      </c>
      <c r="M119" s="318">
        <f t="shared" si="30"/>
        <v>1.2889256392277382E-3</v>
      </c>
    </row>
    <row r="120" spans="2:13" s="313" customFormat="1" ht="36" outlineLevel="1" x14ac:dyDescent="0.2">
      <c r="B120" s="314" t="s">
        <v>589</v>
      </c>
      <c r="C120" s="315" t="str">
        <f>VLOOKUP(D120,Fontes!$A$6:$H$11629,8,FALSE)</f>
        <v>SBC / RJ</v>
      </c>
      <c r="D120" s="315">
        <v>40208</v>
      </c>
      <c r="E120" s="204" t="str">
        <f>VLOOKUP(D120,Fontes!$A$6:$H$11629,2,FALSE)</f>
        <v>Armação em aço CA-50 12,5 mm incluindo corte, dobra e colocação em formas</v>
      </c>
      <c r="F120" s="203">
        <v>6753.7</v>
      </c>
      <c r="G120" s="203" t="str">
        <f>VLOOKUP(D120,Fontes!$A$6:$L$11629,3,FALSE)</f>
        <v>kg</v>
      </c>
      <c r="H120" s="203">
        <v>8.7199999999999989</v>
      </c>
      <c r="I120" s="203">
        <v>3.7800000000000002</v>
      </c>
      <c r="J120" s="203">
        <v>0</v>
      </c>
      <c r="K120" s="316">
        <f t="shared" si="28"/>
        <v>12.5</v>
      </c>
      <c r="L120" s="317">
        <f t="shared" si="29"/>
        <v>84421.25</v>
      </c>
      <c r="M120" s="318">
        <f t="shared" si="30"/>
        <v>3.05727545476308E-3</v>
      </c>
    </row>
    <row r="121" spans="2:13" s="313" customFormat="1" ht="36" outlineLevel="1" x14ac:dyDescent="0.2">
      <c r="B121" s="314" t="s">
        <v>590</v>
      </c>
      <c r="C121" s="315" t="str">
        <f>VLOOKUP(D121,Fontes!$A$6:$H$11629,8,FALSE)</f>
        <v>SBC / RJ</v>
      </c>
      <c r="D121" s="315">
        <v>40209</v>
      </c>
      <c r="E121" s="204" t="str">
        <f>VLOOKUP(D121,Fontes!$A$6:$H$11629,2,FALSE)</f>
        <v>Armação em aço CA-50 16,0 mm incluindo corte, dobra e colocação em formas</v>
      </c>
      <c r="F121" s="203">
        <v>5804.02</v>
      </c>
      <c r="G121" s="203" t="str">
        <f>VLOOKUP(D121,Fontes!$A$6:$L$11629,3,FALSE)</f>
        <v>kg</v>
      </c>
      <c r="H121" s="203">
        <v>8.7199999999999989</v>
      </c>
      <c r="I121" s="203">
        <v>3.7800000000000002</v>
      </c>
      <c r="J121" s="203">
        <v>0</v>
      </c>
      <c r="K121" s="316">
        <f t="shared" si="28"/>
        <v>12.5</v>
      </c>
      <c r="L121" s="317">
        <f t="shared" si="29"/>
        <v>72550.25</v>
      </c>
      <c r="M121" s="318">
        <f t="shared" si="30"/>
        <v>2.6273728304416857E-3</v>
      </c>
    </row>
    <row r="122" spans="2:13" s="313" customFormat="1" ht="36" outlineLevel="1" x14ac:dyDescent="0.2">
      <c r="B122" s="314" t="s">
        <v>591</v>
      </c>
      <c r="C122" s="315" t="str">
        <f>VLOOKUP(D122,Fontes!$A$6:$H$11629,8,FALSE)</f>
        <v>SBC / RJ</v>
      </c>
      <c r="D122" s="315">
        <v>40172</v>
      </c>
      <c r="E122" s="204" t="str">
        <f>VLOOKUP(D122,Fontes!$A$6:$H$11629,2,FALSE)</f>
        <v>Armação em aço CA-50 20,0 mm incluindo corte, dobra e colocação em formas</v>
      </c>
      <c r="F122" s="203">
        <v>10649.63</v>
      </c>
      <c r="G122" s="203" t="str">
        <f>VLOOKUP(D122,Fontes!$A$6:$L$11629,3,FALSE)</f>
        <v>kg</v>
      </c>
      <c r="H122" s="203">
        <v>8.69</v>
      </c>
      <c r="I122" s="203">
        <v>3.51</v>
      </c>
      <c r="J122" s="203">
        <v>0</v>
      </c>
      <c r="K122" s="316">
        <f t="shared" si="28"/>
        <v>12.2</v>
      </c>
      <c r="L122" s="317">
        <f t="shared" si="29"/>
        <v>129925.49</v>
      </c>
      <c r="M122" s="318">
        <f t="shared" si="30"/>
        <v>4.7051898843604662E-3</v>
      </c>
    </row>
    <row r="123" spans="2:13" s="313" customFormat="1" ht="36" outlineLevel="1" x14ac:dyDescent="0.2">
      <c r="B123" s="314" t="s">
        <v>592</v>
      </c>
      <c r="C123" s="315" t="str">
        <f>VLOOKUP(D123,Fontes!$A$6:$H$11629,8,FALSE)</f>
        <v>SBC / RJ</v>
      </c>
      <c r="D123" s="315">
        <v>40174</v>
      </c>
      <c r="E123" s="204" t="str">
        <f>VLOOKUP(D123,Fontes!$A$6:$H$11629,2,FALSE)</f>
        <v>Armação em aço CA-50 25,0 mm incluindo corte, dobra e colocação em formas</v>
      </c>
      <c r="F123" s="203">
        <v>9780</v>
      </c>
      <c r="G123" s="203" t="str">
        <f>VLOOKUP(D123,Fontes!$A$6:$L$11629,3,FALSE)</f>
        <v>kg</v>
      </c>
      <c r="H123" s="203">
        <v>8.73</v>
      </c>
      <c r="I123" s="203">
        <v>3.51</v>
      </c>
      <c r="J123" s="203">
        <v>0</v>
      </c>
      <c r="K123" s="316">
        <f t="shared" si="28"/>
        <v>12.24</v>
      </c>
      <c r="L123" s="317">
        <f t="shared" si="29"/>
        <v>119707.2</v>
      </c>
      <c r="M123" s="318">
        <f t="shared" si="30"/>
        <v>4.3351393673798358E-3</v>
      </c>
    </row>
    <row r="124" spans="2:13" s="313" customFormat="1" ht="18" outlineLevel="1" x14ac:dyDescent="0.2">
      <c r="B124" s="314" t="s">
        <v>593</v>
      </c>
      <c r="C124" s="315" t="str">
        <f>VLOOKUP(D124,Fontes!$A$6:$H$11629,8,FALSE)</f>
        <v>SBC / RJ</v>
      </c>
      <c r="D124" s="315">
        <v>40630</v>
      </c>
      <c r="E124" s="204" t="str">
        <f>VLOOKUP(D124,Fontes!$A$6:$H$11629,2,FALSE)</f>
        <v>Concreto usinado bombeável 40 Mpa</v>
      </c>
      <c r="F124" s="203">
        <v>404.77</v>
      </c>
      <c r="G124" s="203" t="str">
        <f>VLOOKUP(D124,Fontes!$A$6:$L$11629,3,FALSE)</f>
        <v>m3</v>
      </c>
      <c r="H124" s="203">
        <v>608.34</v>
      </c>
      <c r="I124" s="203">
        <v>277.00999999999993</v>
      </c>
      <c r="J124" s="203">
        <v>2.42</v>
      </c>
      <c r="K124" s="316">
        <f t="shared" si="28"/>
        <v>887.77</v>
      </c>
      <c r="L124" s="317">
        <f t="shared" si="29"/>
        <v>359342.66</v>
      </c>
      <c r="M124" s="318">
        <f t="shared" si="30"/>
        <v>1.3013423684999628E-2</v>
      </c>
    </row>
    <row r="125" spans="2:13" s="313" customFormat="1" ht="36" outlineLevel="1" x14ac:dyDescent="0.2">
      <c r="B125" s="314" t="s">
        <v>594</v>
      </c>
      <c r="C125" s="315" t="str">
        <f>VLOOKUP(D125,Fontes!$A$6:$H$11629,8,FALSE)</f>
        <v>SINAPI / RJ</v>
      </c>
      <c r="D125" s="315">
        <v>103673</v>
      </c>
      <c r="E125" s="204" t="str">
        <f>VLOOKUP(D125,Fontes!$A$6:$H$11629,2,FALSE)</f>
        <v>Lançamento com uso de bomba, adensamento e acabamento de concreto em estruturas</v>
      </c>
      <c r="F125" s="203">
        <f>F124</f>
        <v>404.77</v>
      </c>
      <c r="G125" s="203" t="str">
        <f>VLOOKUP(D125,Fontes!$A$6:$L$11629,3,FALSE)</f>
        <v>m3</v>
      </c>
      <c r="H125" s="203">
        <v>18.166488147497805</v>
      </c>
      <c r="I125" s="203">
        <v>43.363854258121158</v>
      </c>
      <c r="J125" s="203">
        <v>0.18965759438103599</v>
      </c>
      <c r="K125" s="316">
        <f t="shared" si="28"/>
        <v>61.72</v>
      </c>
      <c r="L125" s="317">
        <f t="shared" si="29"/>
        <v>24982.400000000001</v>
      </c>
      <c r="M125" s="318">
        <f t="shared" si="30"/>
        <v>9.0472574524865694E-4</v>
      </c>
    </row>
    <row r="126" spans="2:13" s="313" customFormat="1" ht="18" outlineLevel="1" x14ac:dyDescent="0.2">
      <c r="B126" s="314" t="s">
        <v>1981</v>
      </c>
      <c r="C126" s="315" t="str">
        <f>VLOOKUP(D126,Fontes!$A$6:$H$11629,8,FALSE)</f>
        <v>FACC</v>
      </c>
      <c r="D126" s="315" t="s">
        <v>1165</v>
      </c>
      <c r="E126" s="204" t="str">
        <f>VLOOKUP(D126,Fontes!$A$6:$H$11629,2,FALSE)</f>
        <v>Laje pré fabricada para piso e= 10 cm</v>
      </c>
      <c r="F126" s="203">
        <v>207.61</v>
      </c>
      <c r="G126" s="203" t="str">
        <f>VLOOKUP(D126,Fontes!$A$6:$L$11629,3,FALSE)</f>
        <v>m2</v>
      </c>
      <c r="H126" s="203">
        <v>134.69</v>
      </c>
      <c r="I126" s="203">
        <v>57.129999999999995</v>
      </c>
      <c r="J126" s="203">
        <v>0</v>
      </c>
      <c r="K126" s="316">
        <f t="shared" ref="K126" si="31">ROUND(+H126+I126+J126,2)</f>
        <v>191.82</v>
      </c>
      <c r="L126" s="317">
        <f t="shared" ref="L126" si="32">ROUND(F126*K126,2)</f>
        <v>39823.75</v>
      </c>
      <c r="M126" s="318">
        <f t="shared" si="30"/>
        <v>1.442198183414972E-3</v>
      </c>
    </row>
    <row r="127" spans="2:13" s="313" customFormat="1" ht="18" outlineLevel="1" x14ac:dyDescent="0.2">
      <c r="B127" s="314" t="s">
        <v>1982</v>
      </c>
      <c r="C127" s="315" t="str">
        <f>VLOOKUP(D127,Fontes!$A$6:$H$11629,8,FALSE)</f>
        <v>FACC</v>
      </c>
      <c r="D127" s="315" t="s">
        <v>1167</v>
      </c>
      <c r="E127" s="204" t="str">
        <f>VLOOKUP(D127,Fontes!$A$6:$H$11629,2,FALSE)</f>
        <v>Laje pré fabricada para piso e= 15 cm</v>
      </c>
      <c r="F127" s="203">
        <v>1997.82</v>
      </c>
      <c r="G127" s="203" t="str">
        <f>VLOOKUP(D127,Fontes!$A$6:$L$11629,3,FALSE)</f>
        <v>m2</v>
      </c>
      <c r="H127" s="203">
        <v>169.38</v>
      </c>
      <c r="I127" s="203">
        <v>57.129999999999995</v>
      </c>
      <c r="J127" s="203">
        <v>0</v>
      </c>
      <c r="K127" s="316">
        <f t="shared" si="28"/>
        <v>226.51</v>
      </c>
      <c r="L127" s="317">
        <f t="shared" si="29"/>
        <v>452526.21</v>
      </c>
      <c r="M127" s="318">
        <f t="shared" si="30"/>
        <v>1.6388021670728201E-2</v>
      </c>
    </row>
    <row r="128" spans="2:13" s="313" customFormat="1" ht="54" outlineLevel="1" x14ac:dyDescent="0.2">
      <c r="B128" s="314" t="s">
        <v>1983</v>
      </c>
      <c r="C128" s="315" t="str">
        <f>VLOOKUP(D128,Fontes!$A$6:$H$11629,8,FALSE)</f>
        <v>SINAPI / RJ</v>
      </c>
      <c r="D128" s="315">
        <v>101964</v>
      </c>
      <c r="E128" s="204" t="str">
        <f>VLOOKUP(D128,Fontes!$A$6:$H$11629,2,FALSE)</f>
        <v>Laje pré-moldada unidirecional, biapoiada, para forro, enchimento em cerâmica, vigota convencional, altura total da laje (enchimento+capa) = (8+3)</v>
      </c>
      <c r="F128" s="203">
        <v>12.95</v>
      </c>
      <c r="G128" s="203" t="str">
        <f>VLOOKUP(D128,Fontes!$A$6:$L$11629,3,FALSE)</f>
        <v>m2</v>
      </c>
      <c r="H128" s="203">
        <v>168.74300298669561</v>
      </c>
      <c r="I128" s="203">
        <v>31.65699701330437</v>
      </c>
      <c r="J128" s="203">
        <v>0</v>
      </c>
      <c r="K128" s="316">
        <f t="shared" si="28"/>
        <v>200.4</v>
      </c>
      <c r="L128" s="317">
        <f t="shared" si="29"/>
        <v>2595.1799999999998</v>
      </c>
      <c r="M128" s="318">
        <f t="shared" si="30"/>
        <v>9.3983210562412298E-5</v>
      </c>
    </row>
    <row r="129" spans="2:15" s="313" customFormat="1" ht="18" outlineLevel="1" x14ac:dyDescent="0.2">
      <c r="B129" s="314" t="s">
        <v>584</v>
      </c>
      <c r="C129" s="315"/>
      <c r="D129" s="315"/>
      <c r="E129" s="319" t="s">
        <v>269</v>
      </c>
      <c r="F129" s="203"/>
      <c r="G129" s="203"/>
      <c r="H129" s="203"/>
      <c r="I129" s="203"/>
      <c r="J129" s="203"/>
      <c r="K129" s="316"/>
      <c r="L129" s="317"/>
      <c r="M129" s="318">
        <f t="shared" si="30"/>
        <v>0</v>
      </c>
    </row>
    <row r="130" spans="2:15" s="313" customFormat="1" ht="36" outlineLevel="1" x14ac:dyDescent="0.2">
      <c r="B130" s="314" t="s">
        <v>1984</v>
      </c>
      <c r="C130" s="315" t="str">
        <f>VLOOKUP(D130,Fontes!$A$6:$H$11629,8,FALSE)</f>
        <v>SINAPI / RJ</v>
      </c>
      <c r="D130" s="315">
        <v>96396</v>
      </c>
      <c r="E130" s="204" t="str">
        <f>VLOOKUP(D130,Fontes!$A$6:$H$11629,2,FALSE)</f>
        <v>Execução e compactação de base e ou sub base para pavimentação de brita graduada simples</v>
      </c>
      <c r="F130" s="203">
        <v>84.63</v>
      </c>
      <c r="G130" s="203" t="str">
        <f>VLOOKUP(D130,Fontes!$A$6:$L$11629,3,FALSE)</f>
        <v>m3</v>
      </c>
      <c r="H130" s="203">
        <v>196.52361914781696</v>
      </c>
      <c r="I130" s="203">
        <v>8.7214623882167288</v>
      </c>
      <c r="J130" s="203">
        <v>15.814918463966332</v>
      </c>
      <c r="K130" s="316">
        <f t="shared" ref="K130:K140" si="33">ROUND(+H130+I130+J130,2)</f>
        <v>221.06</v>
      </c>
      <c r="L130" s="317">
        <f t="shared" ref="L130:L140" si="34">ROUND(F130*K130,2)</f>
        <v>18708.310000000001</v>
      </c>
      <c r="M130" s="318">
        <f t="shared" si="30"/>
        <v>6.7751255712393131E-4</v>
      </c>
    </row>
    <row r="131" spans="2:15" s="313" customFormat="1" ht="36" outlineLevel="1" x14ac:dyDescent="0.2">
      <c r="B131" s="314" t="s">
        <v>1985</v>
      </c>
      <c r="C131" s="315" t="str">
        <f>VLOOKUP(D131,Fontes!$A$6:$H$11629,8,FALSE)</f>
        <v>SINAPI / RJ</v>
      </c>
      <c r="D131" s="315">
        <v>97087</v>
      </c>
      <c r="E131" s="204" t="str">
        <f>VLOOKUP(D131,Fontes!$A$6:$H$11629,2,FALSE)</f>
        <v>Camada separadora para execução de radier, piso de concreto ou laje sobre solo, em lona plástica</v>
      </c>
      <c r="F131" s="203">
        <v>564.23</v>
      </c>
      <c r="G131" s="203" t="str">
        <f>VLOOKUP(D131,Fontes!$A$6:$L$11629,3,FALSE)</f>
        <v>m2</v>
      </c>
      <c r="H131" s="203">
        <v>2.2744715447154471</v>
      </c>
      <c r="I131" s="203">
        <v>0.41552845528455284</v>
      </c>
      <c r="J131" s="203">
        <v>0</v>
      </c>
      <c r="K131" s="316">
        <f t="shared" si="33"/>
        <v>2.69</v>
      </c>
      <c r="L131" s="317">
        <f t="shared" si="34"/>
        <v>1517.78</v>
      </c>
      <c r="M131" s="318">
        <f t="shared" si="30"/>
        <v>5.496568150471958E-5</v>
      </c>
    </row>
    <row r="132" spans="2:15" s="313" customFormat="1" ht="54" outlineLevel="1" x14ac:dyDescent="0.2">
      <c r="B132" s="314" t="s">
        <v>1986</v>
      </c>
      <c r="C132" s="315" t="str">
        <f>VLOOKUP(D132,Fontes!$A$6:$H$11629,8,FALSE)</f>
        <v>SINAPI / RJ</v>
      </c>
      <c r="D132" s="315">
        <v>97117</v>
      </c>
      <c r="E132" s="204" t="str">
        <f>VLOOKUP(D132,Fontes!$A$6:$H$11629,2,FALSE)</f>
        <v>Barras de transferência, aço ca-25 de 20,0 mm, para execução de pavimento de concreto  fornecimento e instalação</v>
      </c>
      <c r="F132" s="203">
        <v>1089</v>
      </c>
      <c r="G132" s="203" t="str">
        <f>VLOOKUP(D132,Fontes!$A$6:$L$11629,3,FALSE)</f>
        <v>kg</v>
      </c>
      <c r="H132" s="203">
        <v>18.174349612049294</v>
      </c>
      <c r="I132" s="203">
        <v>3.8256503879507076</v>
      </c>
      <c r="J132" s="203">
        <v>0</v>
      </c>
      <c r="K132" s="316">
        <f t="shared" si="33"/>
        <v>22</v>
      </c>
      <c r="L132" s="317">
        <f t="shared" si="34"/>
        <v>23958</v>
      </c>
      <c r="M132" s="318">
        <f t="shared" si="30"/>
        <v>8.6762758600724191E-4</v>
      </c>
    </row>
    <row r="133" spans="2:15" s="313" customFormat="1" ht="36" outlineLevel="1" x14ac:dyDescent="0.2">
      <c r="B133" s="314" t="s">
        <v>1987</v>
      </c>
      <c r="C133" s="315" t="str">
        <f>VLOOKUP(D133,Fontes!$A$6:$H$11629,8,FALSE)</f>
        <v>SINAPI / RJ</v>
      </c>
      <c r="D133" s="315">
        <v>97092</v>
      </c>
      <c r="E133" s="204" t="str">
        <f>VLOOKUP(D133,Fontes!$A$6:$H$11629,2,FALSE)</f>
        <v>Armação para execução de radier, piso de concreto ou laje sobre solo, com uso de tela Q-196</v>
      </c>
      <c r="F133" s="203">
        <v>1138.26</v>
      </c>
      <c r="G133" s="203" t="str">
        <f>VLOOKUP(D133,Fontes!$A$6:$L$11629,3,FALSE)</f>
        <v>kg</v>
      </c>
      <c r="H133" s="203">
        <v>11.45872641509434</v>
      </c>
      <c r="I133" s="203">
        <v>0.39127358490566044</v>
      </c>
      <c r="J133" s="203">
        <v>0</v>
      </c>
      <c r="K133" s="316">
        <f t="shared" si="33"/>
        <v>11.85</v>
      </c>
      <c r="L133" s="317">
        <f t="shared" si="34"/>
        <v>13488.38</v>
      </c>
      <c r="M133" s="318">
        <f t="shared" si="30"/>
        <v>4.8847527249972292E-4</v>
      </c>
    </row>
    <row r="134" spans="2:15" s="313" customFormat="1" ht="36" outlineLevel="1" x14ac:dyDescent="0.2">
      <c r="B134" s="314" t="s">
        <v>1988</v>
      </c>
      <c r="C134" s="315" t="str">
        <f>VLOOKUP(D134,Fontes!$A$6:$H$11629,8,FALSE)</f>
        <v>SINAPI / RJ</v>
      </c>
      <c r="D134" s="315">
        <v>97093</v>
      </c>
      <c r="E134" s="204" t="str">
        <f>VLOOKUP(D134,Fontes!$A$6:$H$11629,2,FALSE)</f>
        <v>Armação para execução de radier, piso de concreto ou laje sobre solo, com uso de tela Q-283</v>
      </c>
      <c r="F134" s="203">
        <v>4892.16</v>
      </c>
      <c r="G134" s="203" t="str">
        <f>VLOOKUP(D134,Fontes!$A$6:$L$11629,3,FALSE)</f>
        <v>kg</v>
      </c>
      <c r="H134" s="203">
        <v>10.708777219430486</v>
      </c>
      <c r="I134" s="203">
        <v>0.30122278056951418</v>
      </c>
      <c r="J134" s="203">
        <v>0</v>
      </c>
      <c r="K134" s="316">
        <f t="shared" si="33"/>
        <v>11.01</v>
      </c>
      <c r="L134" s="317">
        <f t="shared" si="34"/>
        <v>53862.68</v>
      </c>
      <c r="M134" s="318">
        <f t="shared" si="30"/>
        <v>1.9506113625628412E-3</v>
      </c>
    </row>
    <row r="135" spans="2:15" s="313" customFormat="1" ht="54" outlineLevel="1" x14ac:dyDescent="0.2">
      <c r="B135" s="314" t="s">
        <v>1989</v>
      </c>
      <c r="C135" s="315" t="str">
        <f>VLOOKUP(D135,Fontes!$A$6:$H$11629,8,FALSE)</f>
        <v>SINAPI / RJ</v>
      </c>
      <c r="D135" s="315">
        <v>94963</v>
      </c>
      <c r="E135" s="204" t="str">
        <f>VLOOKUP(D135,Fontes!$A$6:$H$11629,2,FALSE)</f>
        <v>Concreto fck = 15Mpa, traço 1:3,4:3,5 (em massa seca de cimento/ areia média/ brita 1) - preparo mecânico com betoneira 400 l</v>
      </c>
      <c r="F135" s="203">
        <v>0.5</v>
      </c>
      <c r="G135" s="203" t="str">
        <f>VLOOKUP(D135,Fontes!$A$6:$L$11629,3,FALSE)</f>
        <v>m3</v>
      </c>
      <c r="H135" s="203">
        <v>380.20837264790418</v>
      </c>
      <c r="I135" s="203">
        <v>85.553224879344938</v>
      </c>
      <c r="J135" s="203">
        <v>1.9784024727509357</v>
      </c>
      <c r="K135" s="316">
        <f t="shared" si="33"/>
        <v>467.74</v>
      </c>
      <c r="L135" s="317">
        <f t="shared" si="34"/>
        <v>233.87</v>
      </c>
      <c r="M135" s="318">
        <f t="shared" si="30"/>
        <v>8.4694909232621111E-6</v>
      </c>
    </row>
    <row r="136" spans="2:15" s="313" customFormat="1" ht="18" outlineLevel="1" x14ac:dyDescent="0.2">
      <c r="B136" s="314" t="s">
        <v>1990</v>
      </c>
      <c r="C136" s="315" t="str">
        <f>VLOOKUP(D136,Fontes!$A$6:$H$11629,8,FALSE)</f>
        <v>SBC / RJ</v>
      </c>
      <c r="D136" s="315">
        <v>40626</v>
      </c>
      <c r="E136" s="204" t="str">
        <f>VLOOKUP(D136,Fontes!$A$6:$H$11629,2,FALSE)</f>
        <v>Concreto usinado bombeável 30 Mpa</v>
      </c>
      <c r="F136" s="203">
        <v>87.17</v>
      </c>
      <c r="G136" s="203" t="str">
        <f>VLOOKUP(D136,Fontes!$A$6:$L$11629,3,FALSE)</f>
        <v>m3</v>
      </c>
      <c r="H136" s="203">
        <v>574.07000000000005</v>
      </c>
      <c r="I136" s="203">
        <v>274.09999999999991</v>
      </c>
      <c r="J136" s="203">
        <v>3.61</v>
      </c>
      <c r="K136" s="316">
        <f t="shared" si="33"/>
        <v>851.78</v>
      </c>
      <c r="L136" s="317">
        <f t="shared" si="34"/>
        <v>74249.66</v>
      </c>
      <c r="M136" s="318">
        <f t="shared" si="30"/>
        <v>2.6889161560922645E-3</v>
      </c>
    </row>
    <row r="137" spans="2:15" s="313" customFormat="1" ht="54" outlineLevel="1" x14ac:dyDescent="0.2">
      <c r="B137" s="314" t="s">
        <v>1991</v>
      </c>
      <c r="C137" s="315" t="str">
        <f>VLOOKUP(D137,Fontes!$A$6:$H$11629,8,FALSE)</f>
        <v>Custo Mercado Reajustado</v>
      </c>
      <c r="D137" s="315" t="s">
        <v>1373</v>
      </c>
      <c r="E137" s="204" t="str">
        <f>VLOOKUP(D137,Fontes!$A$6:$H$11629,2,FALSE)</f>
        <v>Execução de piso nivelado a laser</v>
      </c>
      <c r="F137" s="203">
        <v>564.23</v>
      </c>
      <c r="G137" s="203" t="str">
        <f>VLOOKUP(D137,Fontes!$A$6:$L$11629,3,FALSE)</f>
        <v>m2</v>
      </c>
      <c r="H137" s="203">
        <v>0</v>
      </c>
      <c r="I137" s="203">
        <v>69.660766666666674</v>
      </c>
      <c r="J137" s="203">
        <v>0</v>
      </c>
      <c r="K137" s="316">
        <f t="shared" si="33"/>
        <v>69.66</v>
      </c>
      <c r="L137" s="317">
        <f t="shared" si="34"/>
        <v>39304.26</v>
      </c>
      <c r="M137" s="318">
        <f t="shared" si="30"/>
        <v>1.4233850999082144E-3</v>
      </c>
      <c r="O137" s="320"/>
    </row>
    <row r="138" spans="2:15" s="313" customFormat="1" ht="54" outlineLevel="1" x14ac:dyDescent="0.2">
      <c r="B138" s="314" t="s">
        <v>1992</v>
      </c>
      <c r="C138" s="315" t="str">
        <f>VLOOKUP(D138,Fontes!$A$6:$H$11629,8,FALSE)</f>
        <v>SINAPI / RJ</v>
      </c>
      <c r="D138" s="315">
        <v>98575</v>
      </c>
      <c r="E138" s="204" t="str">
        <f>VLOOKUP(D138,Fontes!$A$6:$H$11629,2,FALSE)</f>
        <v>Tratamento de junta de dilatação com tarugo de polietileno e selante PU, incluso preenchimento com espuma expansiva PU</v>
      </c>
      <c r="F138" s="203">
        <v>235.01</v>
      </c>
      <c r="G138" s="203" t="str">
        <f>VLOOKUP(D138,Fontes!$A$6:$L$11629,3,FALSE)</f>
        <v>m</v>
      </c>
      <c r="H138" s="203">
        <v>58.96</v>
      </c>
      <c r="I138" s="203">
        <v>47.92</v>
      </c>
      <c r="J138" s="203">
        <v>0</v>
      </c>
      <c r="K138" s="316">
        <f t="shared" si="33"/>
        <v>106.88</v>
      </c>
      <c r="L138" s="317">
        <f t="shared" si="34"/>
        <v>25117.87</v>
      </c>
      <c r="M138" s="318">
        <f t="shared" si="30"/>
        <v>9.0963172692811259E-4</v>
      </c>
    </row>
    <row r="139" spans="2:15" s="313" customFormat="1" ht="36" outlineLevel="1" x14ac:dyDescent="0.2">
      <c r="B139" s="314" t="s">
        <v>1993</v>
      </c>
      <c r="C139" s="315" t="str">
        <f>VLOOKUP(D139,Fontes!$A$6:$H$11629,8,FALSE)</f>
        <v>SINAPI / RJ</v>
      </c>
      <c r="D139" s="315">
        <v>98577</v>
      </c>
      <c r="E139" s="204" t="str">
        <f>VLOOKUP(D139,Fontes!$A$6:$H$11629,2,FALSE)</f>
        <v>Tratamento de junta serrada com tarugo de polietileno e selante à base de silicone</v>
      </c>
      <c r="F139" s="203">
        <v>22.43</v>
      </c>
      <c r="G139" s="203" t="str">
        <f>VLOOKUP(D139,Fontes!$A$6:$L$11629,3,FALSE)</f>
        <v>m</v>
      </c>
      <c r="H139" s="203">
        <v>25.007626364739185</v>
      </c>
      <c r="I139" s="203">
        <v>39.212373635260818</v>
      </c>
      <c r="J139" s="203">
        <v>0</v>
      </c>
      <c r="K139" s="316">
        <f t="shared" si="33"/>
        <v>64.22</v>
      </c>
      <c r="L139" s="317">
        <f t="shared" si="34"/>
        <v>1440.45</v>
      </c>
      <c r="M139" s="318">
        <f t="shared" si="30"/>
        <v>5.2165212299195746E-5</v>
      </c>
    </row>
    <row r="140" spans="2:15" s="313" customFormat="1" ht="36" outlineLevel="1" x14ac:dyDescent="0.2">
      <c r="B140" s="314" t="s">
        <v>1994</v>
      </c>
      <c r="C140" s="315" t="str">
        <f>VLOOKUP(D140,Fontes!$A$6:$H$11629,8,FALSE)</f>
        <v>SINAPI / RJ</v>
      </c>
      <c r="D140" s="315">
        <v>97114</v>
      </c>
      <c r="E140" s="204" t="str">
        <f>VLOOKUP(D140,Fontes!$A$6:$H$11629,2,FALSE)</f>
        <v>Execução de juntas de contração para pavimentos de concreto</v>
      </c>
      <c r="F140" s="203">
        <v>104.11</v>
      </c>
      <c r="G140" s="203" t="str">
        <f>VLOOKUP(D140,Fontes!$A$6:$L$11629,3,FALSE)</f>
        <v>m</v>
      </c>
      <c r="H140" s="203">
        <v>0.16333333333333336</v>
      </c>
      <c r="I140" s="203">
        <v>0.39666666666666672</v>
      </c>
      <c r="J140" s="203">
        <v>0</v>
      </c>
      <c r="K140" s="316">
        <f t="shared" si="33"/>
        <v>0.56000000000000005</v>
      </c>
      <c r="L140" s="317">
        <f t="shared" si="34"/>
        <v>58.3</v>
      </c>
      <c r="M140" s="318">
        <f t="shared" si="30"/>
        <v>2.1113067979055934E-6</v>
      </c>
    </row>
    <row r="141" spans="2:15" s="109" customFormat="1" ht="18" outlineLevel="1" x14ac:dyDescent="0.2">
      <c r="B141" s="114"/>
      <c r="C141" s="115"/>
      <c r="D141" s="115"/>
      <c r="E141" s="116"/>
      <c r="F141" s="117"/>
      <c r="G141" s="117"/>
      <c r="H141" s="117"/>
      <c r="I141" s="117"/>
      <c r="J141" s="117"/>
      <c r="K141" s="118"/>
      <c r="L141" s="119"/>
      <c r="M141" s="120">
        <f t="shared" si="30"/>
        <v>0</v>
      </c>
    </row>
    <row r="142" spans="2:15" s="109" customFormat="1" ht="25.5" customHeight="1" outlineLevel="1" x14ac:dyDescent="0.2">
      <c r="B142" s="217" t="s">
        <v>595</v>
      </c>
      <c r="C142" s="218"/>
      <c r="D142" s="218"/>
      <c r="E142" s="311" t="s">
        <v>195</v>
      </c>
      <c r="F142" s="219"/>
      <c r="G142" s="220"/>
      <c r="H142" s="221"/>
      <c r="I142" s="221"/>
      <c r="J142" s="219"/>
      <c r="K142" s="219"/>
      <c r="L142" s="222">
        <f>SUBTOTAL(9,L143:L149)</f>
        <v>2094128.9900000002</v>
      </c>
      <c r="M142" s="223">
        <f t="shared" si="30"/>
        <v>7.5837886316949821E-2</v>
      </c>
    </row>
    <row r="143" spans="2:15" s="313" customFormat="1" ht="54" outlineLevel="1" x14ac:dyDescent="0.2">
      <c r="B143" s="314" t="s">
        <v>596</v>
      </c>
      <c r="C143" s="315" t="str">
        <f>VLOOKUP(D143,Fontes!$A$6:$H$11629,8,FALSE)</f>
        <v>Custo Mercado Reajustado</v>
      </c>
      <c r="D143" s="315" t="s">
        <v>161</v>
      </c>
      <c r="E143" s="204" t="str">
        <f>VLOOKUP(D143,Fontes!$A$6:$H$11629,2,FALSE)</f>
        <v>Pré fabricado em concreto armado Fck 35 Mpa espessura 9 cm reta, incluindo fabricação e montagem da Stone Pré Fabricados Arquitetônicos</v>
      </c>
      <c r="F143" s="203">
        <v>123</v>
      </c>
      <c r="G143" s="203" t="str">
        <f>VLOOKUP(D143,Fontes!$A$6:$L$11629,3,FALSE)</f>
        <v>un</v>
      </c>
      <c r="H143" s="203">
        <v>8234.8947320177722</v>
      </c>
      <c r="I143" s="203">
        <v>0</v>
      </c>
      <c r="J143" s="203">
        <v>0</v>
      </c>
      <c r="K143" s="316">
        <f t="shared" ref="K143:K145" si="35">ROUND(+H143+I143+J143,2)</f>
        <v>8234.89</v>
      </c>
      <c r="L143" s="317">
        <f t="shared" ref="L143:L145" si="36">ROUND(F143*K143,2)</f>
        <v>1012891.47</v>
      </c>
      <c r="M143" s="318">
        <f t="shared" si="30"/>
        <v>3.668138329591062E-2</v>
      </c>
    </row>
    <row r="144" spans="2:15" s="313" customFormat="1" ht="54" outlineLevel="1" x14ac:dyDescent="0.2">
      <c r="B144" s="314" t="s">
        <v>597</v>
      </c>
      <c r="C144" s="315" t="str">
        <f>VLOOKUP(D144,Fontes!$A$6:$H$11629,8,FALSE)</f>
        <v>Custo Mercado Reajustado</v>
      </c>
      <c r="D144" s="315" t="s">
        <v>162</v>
      </c>
      <c r="E144" s="204" t="str">
        <f>VLOOKUP(D144,Fontes!$A$6:$H$11629,2,FALSE)</f>
        <v>Pré fabricado em concreto armado Fck 35 espessura 9 cm inclinada, incluindo fabricação e montagem da Stone Pré Fabricados Arquitetônicos</v>
      </c>
      <c r="F144" s="203">
        <v>4</v>
      </c>
      <c r="G144" s="203" t="str">
        <f>VLOOKUP(D144,Fontes!$A$6:$L$11629,3,FALSE)</f>
        <v>un</v>
      </c>
      <c r="H144" s="203">
        <v>17940.125900675102</v>
      </c>
      <c r="I144" s="203">
        <v>0</v>
      </c>
      <c r="J144" s="203">
        <v>0</v>
      </c>
      <c r="K144" s="316">
        <f t="shared" si="35"/>
        <v>17940.13</v>
      </c>
      <c r="L144" s="317">
        <f t="shared" si="36"/>
        <v>71760.52</v>
      </c>
      <c r="M144" s="318">
        <f t="shared" si="30"/>
        <v>2.5987731337434013E-3</v>
      </c>
    </row>
    <row r="145" spans="2:13" s="313" customFormat="1" ht="54" outlineLevel="1" x14ac:dyDescent="0.2">
      <c r="B145" s="314" t="s">
        <v>598</v>
      </c>
      <c r="C145" s="315" t="str">
        <f>VLOOKUP(D145,Fontes!$A$6:$H$11629,8,FALSE)</f>
        <v>Custo Mercado Reajustado</v>
      </c>
      <c r="D145" s="315" t="s">
        <v>163</v>
      </c>
      <c r="E145" s="204" t="str">
        <f>VLOOKUP(D145,Fontes!$A$6:$H$11629,2,FALSE)</f>
        <v>Pré fabricado em concreto armado Fck 35 espessura12 cm curva, incluindo fabricação e montagem da Stone Pré Fabricados Arquitetônicos</v>
      </c>
      <c r="F145" s="203">
        <v>33</v>
      </c>
      <c r="G145" s="203" t="str">
        <f>VLOOKUP(D145,Fontes!$A$6:$L$11629,3,FALSE)</f>
        <v>un</v>
      </c>
      <c r="H145" s="203">
        <v>23854.971508955987</v>
      </c>
      <c r="I145" s="203">
        <v>0</v>
      </c>
      <c r="J145" s="203">
        <v>0</v>
      </c>
      <c r="K145" s="316">
        <f t="shared" si="35"/>
        <v>23854.97</v>
      </c>
      <c r="L145" s="317">
        <f t="shared" si="36"/>
        <v>787214.01</v>
      </c>
      <c r="M145" s="318">
        <f t="shared" si="30"/>
        <v>2.8508581315943769E-2</v>
      </c>
    </row>
    <row r="146" spans="2:13" s="313" customFormat="1" ht="54" outlineLevel="1" x14ac:dyDescent="0.2">
      <c r="B146" s="314" t="s">
        <v>1995</v>
      </c>
      <c r="C146" s="315" t="str">
        <f>VLOOKUP(D146,Fontes!$A$6:$H$11629,8,FALSE)</f>
        <v>Custo Mercado Reajustado</v>
      </c>
      <c r="D146" s="315" t="s">
        <v>1862</v>
      </c>
      <c r="E146" s="204" t="str">
        <f>VLOOKUP(D146,Fontes!$A$6:$H$11629,2,FALSE)</f>
        <v>Mobilização e desmobilização de guindaste sobre pneus com capacidade para 70 toneladas</v>
      </c>
      <c r="F146" s="203">
        <v>1</v>
      </c>
      <c r="G146" s="203" t="str">
        <f>VLOOKUP(D146,Fontes!$A$6:$L$11629,3,FALSE)</f>
        <v>un</v>
      </c>
      <c r="H146" s="203">
        <v>0</v>
      </c>
      <c r="I146" s="203">
        <v>0</v>
      </c>
      <c r="J146" s="203">
        <v>7051.55</v>
      </c>
      <c r="K146" s="316">
        <f t="shared" ref="K146:K149" si="37">ROUND(+H146+I146+J146,2)</f>
        <v>7051.55</v>
      </c>
      <c r="L146" s="317">
        <f t="shared" ref="L146:L149" si="38">ROUND(F146*K146,2)</f>
        <v>7051.55</v>
      </c>
      <c r="M146" s="318">
        <f t="shared" si="30"/>
        <v>2.5536853260327936E-4</v>
      </c>
    </row>
    <row r="147" spans="2:13" s="313" customFormat="1" ht="54" outlineLevel="1" x14ac:dyDescent="0.2">
      <c r="B147" s="314" t="s">
        <v>1996</v>
      </c>
      <c r="C147" s="315" t="str">
        <f>VLOOKUP(D147,Fontes!$A$6:$H$11629,8,FALSE)</f>
        <v>Custo Mercado Reajustado</v>
      </c>
      <c r="D147" s="315" t="s">
        <v>1370</v>
      </c>
      <c r="E147" s="204" t="str">
        <f>VLOOKUP(D147,Fontes!$A$6:$H$11629,2,FALSE)</f>
        <v>Mobilização e desmobilização de guindaste sobre pneus com capacidade para 160 toneladas</v>
      </c>
      <c r="F147" s="203">
        <v>1</v>
      </c>
      <c r="G147" s="203" t="str">
        <f>VLOOKUP(D147,Fontes!$A$6:$L$11629,3,FALSE)</f>
        <v>un</v>
      </c>
      <c r="H147" s="203">
        <v>0</v>
      </c>
      <c r="I147" s="203">
        <v>0</v>
      </c>
      <c r="J147" s="203">
        <v>18526.345000000001</v>
      </c>
      <c r="K147" s="316">
        <f t="shared" si="37"/>
        <v>18526.349999999999</v>
      </c>
      <c r="L147" s="317">
        <f t="shared" si="38"/>
        <v>18526.349999999999</v>
      </c>
      <c r="M147" s="318">
        <f t="shared" si="30"/>
        <v>6.7092296218487627E-4</v>
      </c>
    </row>
    <row r="148" spans="2:13" s="313" customFormat="1" ht="54" outlineLevel="1" x14ac:dyDescent="0.2">
      <c r="B148" s="314" t="s">
        <v>1997</v>
      </c>
      <c r="C148" s="315" t="str">
        <f>VLOOKUP(D148,Fontes!$A$6:$H$11629,8,FALSE)</f>
        <v>Custo Mercado Reajustado</v>
      </c>
      <c r="D148" s="315" t="s">
        <v>1371</v>
      </c>
      <c r="E148" s="204" t="str">
        <f>VLOOKUP(D148,Fontes!$A$6:$H$11629,2,FALSE)</f>
        <v>Locação de guindaste sobre pneus com capacidade para 70 toneladas incluso combustível</v>
      </c>
      <c r="F148" s="203">
        <v>14</v>
      </c>
      <c r="G148" s="203" t="str">
        <f>VLOOKUP(D148,Fontes!$A$6:$L$11629,3,FALSE)</f>
        <v>dia</v>
      </c>
      <c r="H148" s="203">
        <v>1482.7963441200002</v>
      </c>
      <c r="I148" s="203">
        <v>64.105000000000004</v>
      </c>
      <c r="J148" s="203">
        <v>4922.3482142857147</v>
      </c>
      <c r="K148" s="316">
        <f t="shared" si="37"/>
        <v>6469.25</v>
      </c>
      <c r="L148" s="317">
        <f t="shared" si="38"/>
        <v>90569.5</v>
      </c>
      <c r="M148" s="318">
        <f t="shared" si="30"/>
        <v>3.2799314070825151E-3</v>
      </c>
    </row>
    <row r="149" spans="2:13" s="313" customFormat="1" ht="54" outlineLevel="1" x14ac:dyDescent="0.2">
      <c r="B149" s="314" t="s">
        <v>1998</v>
      </c>
      <c r="C149" s="315" t="str">
        <f>VLOOKUP(D149,Fontes!$A$6:$H$11629,8,FALSE)</f>
        <v>Custo Mercado Reajustado</v>
      </c>
      <c r="D149" s="315" t="s">
        <v>1372</v>
      </c>
      <c r="E149" s="204" t="str">
        <f>VLOOKUP(D149,Fontes!$A$6:$H$11629,2,FALSE)</f>
        <v>Locação de guindaste sobre pneus com capacidade para 160 toneladas incluso combustível</v>
      </c>
      <c r="F149" s="203">
        <v>7</v>
      </c>
      <c r="G149" s="203" t="str">
        <f>VLOOKUP(D149,Fontes!$A$6:$L$11629,3,FALSE)</f>
        <v>dia</v>
      </c>
      <c r="H149" s="203">
        <v>1897.8259608000001</v>
      </c>
      <c r="I149" s="203">
        <v>64.105000000000004</v>
      </c>
      <c r="J149" s="203">
        <v>13197.435549428574</v>
      </c>
      <c r="K149" s="316">
        <f t="shared" si="37"/>
        <v>15159.37</v>
      </c>
      <c r="L149" s="317">
        <f t="shared" si="38"/>
        <v>106115.59</v>
      </c>
      <c r="M149" s="318">
        <f t="shared" si="30"/>
        <v>3.8429256694813515E-3</v>
      </c>
    </row>
    <row r="150" spans="2:13" s="109" customFormat="1" ht="18" outlineLevel="1" x14ac:dyDescent="0.2">
      <c r="B150" s="114"/>
      <c r="C150" s="115"/>
      <c r="D150" s="115"/>
      <c r="E150" s="116"/>
      <c r="F150" s="117"/>
      <c r="G150" s="117"/>
      <c r="H150" s="117"/>
      <c r="I150" s="117"/>
      <c r="J150" s="117"/>
      <c r="K150" s="118"/>
      <c r="L150" s="119"/>
      <c r="M150" s="120">
        <f t="shared" ref="M150:M181" si="39">+L150/$L$851</f>
        <v>0</v>
      </c>
    </row>
    <row r="151" spans="2:13" s="109" customFormat="1" ht="25.5" customHeight="1" outlineLevel="1" x14ac:dyDescent="0.2">
      <c r="B151" s="217" t="s">
        <v>599</v>
      </c>
      <c r="C151" s="218"/>
      <c r="D151" s="218"/>
      <c r="E151" s="311" t="s">
        <v>194</v>
      </c>
      <c r="F151" s="219"/>
      <c r="G151" s="220"/>
      <c r="H151" s="221"/>
      <c r="I151" s="221"/>
      <c r="J151" s="219"/>
      <c r="K151" s="219"/>
      <c r="L151" s="222">
        <f>SUBTOTAL(9,L152:L152)</f>
        <v>437776.37</v>
      </c>
      <c r="M151" s="223">
        <f t="shared" si="39"/>
        <v>1.5853863223729576E-2</v>
      </c>
    </row>
    <row r="152" spans="2:13" s="313" customFormat="1" ht="108" outlineLevel="1" x14ac:dyDescent="0.2">
      <c r="B152" s="314" t="s">
        <v>600</v>
      </c>
      <c r="C152" s="315" t="str">
        <f>VLOOKUP(D152,Fontes!$A$6:$H$11629,8,FALSE)</f>
        <v>Custo Mercado Reajustado</v>
      </c>
      <c r="D152" s="315" t="s">
        <v>1362</v>
      </c>
      <c r="E152" s="204" t="str">
        <f>VLOOKUP(D152,Fontes!$A$6:$H$11629,2,FALSE)</f>
        <v>Fornecimento e montagem de estrutura metálica em chapas e perfis soldados ASTM A36, perfis laminados ASTM A572, perfis em chapa dobrada civil 300, parafusos ASTM A325 e A307, incluso grades de piso eletrofundidas, jateamento com granalha de aço e aplicação de fundo epóxi dupla função e acabamento em pintura epóxi</v>
      </c>
      <c r="F152" s="203">
        <v>12789.26</v>
      </c>
      <c r="G152" s="203" t="str">
        <f>VLOOKUP(D152,Fontes!$A$6:$L$11629,3,FALSE)</f>
        <v>kg</v>
      </c>
      <c r="H152" s="203">
        <v>34.234977788914556</v>
      </c>
      <c r="I152" s="203">
        <v>0</v>
      </c>
      <c r="J152" s="203">
        <v>0</v>
      </c>
      <c r="K152" s="316">
        <f t="shared" ref="K152" si="40">ROUND(+H152+I152+J152,2)</f>
        <v>34.229999999999997</v>
      </c>
      <c r="L152" s="317">
        <f t="shared" ref="L152" si="41">ROUND(F152*K152,2)</f>
        <v>437776.37</v>
      </c>
      <c r="M152" s="318">
        <f t="shared" si="39"/>
        <v>1.5853863223729576E-2</v>
      </c>
    </row>
    <row r="153" spans="2:13" s="109" customFormat="1" ht="18" outlineLevel="1" x14ac:dyDescent="0.2">
      <c r="B153" s="114"/>
      <c r="C153" s="115"/>
      <c r="D153" s="115"/>
      <c r="E153" s="116"/>
      <c r="F153" s="117"/>
      <c r="G153" s="117"/>
      <c r="H153" s="117"/>
      <c r="I153" s="117"/>
      <c r="J153" s="117"/>
      <c r="K153" s="118"/>
      <c r="L153" s="119"/>
      <c r="M153" s="120">
        <f t="shared" si="39"/>
        <v>0</v>
      </c>
    </row>
    <row r="154" spans="2:13" s="109" customFormat="1" ht="18" outlineLevel="1" x14ac:dyDescent="0.2">
      <c r="B154" s="114"/>
      <c r="C154" s="115"/>
      <c r="D154" s="115"/>
      <c r="E154" s="116"/>
      <c r="F154" s="117"/>
      <c r="G154" s="117"/>
      <c r="H154" s="117"/>
      <c r="I154" s="117"/>
      <c r="J154" s="117"/>
      <c r="K154" s="118"/>
      <c r="L154" s="119"/>
      <c r="M154" s="120">
        <f t="shared" si="39"/>
        <v>0</v>
      </c>
    </row>
    <row r="155" spans="2:13" s="109" customFormat="1" ht="25.5" customHeight="1" outlineLevel="1" x14ac:dyDescent="0.2">
      <c r="B155" s="206">
        <v>6</v>
      </c>
      <c r="C155" s="207"/>
      <c r="D155" s="207"/>
      <c r="E155" s="309" t="s">
        <v>271</v>
      </c>
      <c r="F155" s="209"/>
      <c r="G155" s="205"/>
      <c r="H155" s="210"/>
      <c r="I155" s="210"/>
      <c r="J155" s="209"/>
      <c r="K155" s="209"/>
      <c r="L155" s="211">
        <f>SUBTOTAL(9,L156:L170)</f>
        <v>569952.56999999995</v>
      </c>
      <c r="M155" s="212">
        <f t="shared" si="39"/>
        <v>2.0640561501282392E-2</v>
      </c>
    </row>
    <row r="156" spans="2:13" s="109" customFormat="1" ht="25.5" customHeight="1" outlineLevel="1" x14ac:dyDescent="0.2">
      <c r="B156" s="217" t="s">
        <v>601</v>
      </c>
      <c r="C156" s="218"/>
      <c r="D156" s="218"/>
      <c r="E156" s="311" t="s">
        <v>272</v>
      </c>
      <c r="F156" s="219"/>
      <c r="G156" s="220"/>
      <c r="H156" s="221"/>
      <c r="I156" s="221"/>
      <c r="J156" s="219"/>
      <c r="K156" s="219"/>
      <c r="L156" s="222">
        <f>SUBTOTAL(9,L157:L158)</f>
        <v>29100.639999999999</v>
      </c>
      <c r="M156" s="223">
        <f t="shared" si="39"/>
        <v>1.0538658500069199E-3</v>
      </c>
    </row>
    <row r="157" spans="2:13" s="313" customFormat="1" ht="54" outlineLevel="1" x14ac:dyDescent="0.2">
      <c r="B157" s="314" t="s">
        <v>602</v>
      </c>
      <c r="C157" s="315" t="str">
        <f>VLOOKUP(D157,Fontes!$A$6:$H$11629,8,FALSE)</f>
        <v>SINAPI / RJ</v>
      </c>
      <c r="D157" s="315">
        <v>101165</v>
      </c>
      <c r="E157" s="204" t="str">
        <f>VLOOKUP(D157,Fontes!$A$6:$H$11629,2,FALSE)</f>
        <v>Alvenaria de embasamento com bloco estrutural de concreto de 14x19x29cm e argamassa de assentamento com preparo em betoneira</v>
      </c>
      <c r="F157" s="203">
        <v>6.7</v>
      </c>
      <c r="G157" s="203" t="str">
        <f>VLOOKUP(D157,Fontes!$A$6:$L$11629,3,FALSE)</f>
        <v>m3</v>
      </c>
      <c r="H157" s="203">
        <v>701.52539627159229</v>
      </c>
      <c r="I157" s="203">
        <v>417.93491363092181</v>
      </c>
      <c r="J157" s="203">
        <v>0.45969009748589018</v>
      </c>
      <c r="K157" s="316">
        <f>ROUND(+H157+I157+J157,2)</f>
        <v>1119.92</v>
      </c>
      <c r="L157" s="317">
        <f>ROUND(F157*K157,2)</f>
        <v>7503.46</v>
      </c>
      <c r="M157" s="318">
        <f t="shared" si="39"/>
        <v>2.7173423852165873E-4</v>
      </c>
    </row>
    <row r="158" spans="2:13" s="313" customFormat="1" ht="36" outlineLevel="1" x14ac:dyDescent="0.2">
      <c r="B158" s="314" t="s">
        <v>1999</v>
      </c>
      <c r="C158" s="315" t="str">
        <f>VLOOKUP(D158,Fontes!$A$6:$H$11629,8,FALSE)</f>
        <v>SINAPI / RJ</v>
      </c>
      <c r="D158" s="315">
        <v>93205</v>
      </c>
      <c r="E158" s="204" t="str">
        <f>VLOOKUP(D158,Fontes!$A$6:$H$11629,2,FALSE)</f>
        <v>Cinta de amarração de alvenaria moldada in loco com utilização de blocos canaleta</v>
      </c>
      <c r="F158" s="203">
        <v>283.8</v>
      </c>
      <c r="G158" s="203" t="str">
        <f>VLOOKUP(D158,Fontes!$A$6:$L$11629,3,FALSE)</f>
        <v>m</v>
      </c>
      <c r="H158" s="203">
        <v>58.157245817245816</v>
      </c>
      <c r="I158" s="203">
        <v>17.923166023166022</v>
      </c>
      <c r="J158" s="203">
        <v>1.9588159588159584E-2</v>
      </c>
      <c r="K158" s="316">
        <f>ROUND(+H158+I158+J158,2)</f>
        <v>76.099999999999994</v>
      </c>
      <c r="L158" s="317">
        <f>ROUND(F158*K158,2)</f>
        <v>21597.18</v>
      </c>
      <c r="M158" s="318">
        <f t="shared" si="39"/>
        <v>7.8213161148526112E-4</v>
      </c>
    </row>
    <row r="159" spans="2:13" s="109" customFormat="1" ht="25.5" customHeight="1" outlineLevel="1" x14ac:dyDescent="0.2">
      <c r="B159" s="114"/>
      <c r="C159" s="115"/>
      <c r="D159" s="115"/>
      <c r="E159" s="116"/>
      <c r="F159" s="117"/>
      <c r="G159" s="117"/>
      <c r="H159" s="117"/>
      <c r="I159" s="117"/>
      <c r="J159" s="117"/>
      <c r="K159" s="118"/>
      <c r="L159" s="119"/>
      <c r="M159" s="120">
        <f t="shared" si="39"/>
        <v>0</v>
      </c>
    </row>
    <row r="160" spans="2:13" s="109" customFormat="1" ht="25.5" customHeight="1" outlineLevel="1" x14ac:dyDescent="0.2">
      <c r="B160" s="217" t="s">
        <v>603</v>
      </c>
      <c r="C160" s="218"/>
      <c r="D160" s="218"/>
      <c r="E160" s="311" t="s">
        <v>273</v>
      </c>
      <c r="F160" s="219"/>
      <c r="G160" s="220"/>
      <c r="H160" s="221"/>
      <c r="I160" s="221"/>
      <c r="J160" s="219"/>
      <c r="K160" s="219"/>
      <c r="L160" s="222">
        <f>SUBTOTAL(9,L161:L163)</f>
        <v>359621.56</v>
      </c>
      <c r="M160" s="223">
        <f t="shared" si="39"/>
        <v>1.3023523915976229E-2</v>
      </c>
    </row>
    <row r="161" spans="2:13" s="313" customFormat="1" ht="54" outlineLevel="1" x14ac:dyDescent="0.2">
      <c r="B161" s="314" t="s">
        <v>604</v>
      </c>
      <c r="C161" s="315" t="str">
        <f>VLOOKUP(D161,Fontes!$A$6:$H$11629,8,FALSE)</f>
        <v>SINAPI / RJ</v>
      </c>
      <c r="D161" s="315">
        <v>103316</v>
      </c>
      <c r="E161" s="204" t="str">
        <f>VLOOKUP(D161,Fontes!$A$6:$H$11629,2,FALSE)</f>
        <v>Alvenaria de vedação de blocos vazados de concreto de 9x19x39 cm (espessura 9 cm) e argamassa de assentamento com preparo em betoneira</v>
      </c>
      <c r="F161" s="203">
        <v>129.5</v>
      </c>
      <c r="G161" s="203" t="str">
        <f>VLOOKUP(D161,Fontes!$A$6:$L$11629,3,FALSE)</f>
        <v>m2</v>
      </c>
      <c r="H161" s="203">
        <v>56.152603062426387</v>
      </c>
      <c r="I161" s="203">
        <v>29.194829210836275</v>
      </c>
      <c r="J161" s="203">
        <v>1.2567726737338044E-2</v>
      </c>
      <c r="K161" s="316">
        <f t="shared" ref="K161:K163" si="42">ROUND(+H161+I161+J161,2)</f>
        <v>85.36</v>
      </c>
      <c r="L161" s="317">
        <f t="shared" ref="L161:L163" si="43">ROUND(F161*K161,2)</f>
        <v>11054.12</v>
      </c>
      <c r="M161" s="318">
        <f t="shared" si="39"/>
        <v>4.0031970327382812E-4</v>
      </c>
    </row>
    <row r="162" spans="2:13" s="313" customFormat="1" ht="54" outlineLevel="1" x14ac:dyDescent="0.2">
      <c r="B162" s="314" t="s">
        <v>605</v>
      </c>
      <c r="C162" s="315" t="str">
        <f>VLOOKUP(D162,Fontes!$A$6:$H$11629,8,FALSE)</f>
        <v>SINAPI / RJ</v>
      </c>
      <c r="D162" s="315">
        <v>103318</v>
      </c>
      <c r="E162" s="204" t="str">
        <f>VLOOKUP(D162,Fontes!$A$6:$H$11629,2,FALSE)</f>
        <v>Alvenaria de vedação de blocos vazados de concreto de 14x19x39 cm (espessura 14 cm)  e argamassa de assentamento com preparo em betoneira</v>
      </c>
      <c r="F162" s="203">
        <f>167.8+119.8</f>
        <v>287.60000000000002</v>
      </c>
      <c r="G162" s="203" t="str">
        <f>VLOOKUP(D162,Fontes!$A$6:$L$11629,3,FALSE)</f>
        <v>m2</v>
      </c>
      <c r="H162" s="203">
        <v>71.885857062464822</v>
      </c>
      <c r="I162" s="203">
        <v>39.82899043331458</v>
      </c>
      <c r="J162" s="203">
        <v>2.5152504220596512E-2</v>
      </c>
      <c r="K162" s="316">
        <f t="shared" si="42"/>
        <v>111.74</v>
      </c>
      <c r="L162" s="317">
        <f t="shared" si="43"/>
        <v>32136.42</v>
      </c>
      <c r="M162" s="318">
        <f t="shared" si="39"/>
        <v>1.1638051802118226E-3</v>
      </c>
    </row>
    <row r="163" spans="2:13" s="313" customFormat="1" ht="54" outlineLevel="1" x14ac:dyDescent="0.2">
      <c r="B163" s="314" t="s">
        <v>2000</v>
      </c>
      <c r="C163" s="315" t="str">
        <f>VLOOKUP(D163,Fontes!$A$6:$H$11629,8,FALSE)</f>
        <v>SINAPI / RJ</v>
      </c>
      <c r="D163" s="315">
        <v>103320</v>
      </c>
      <c r="E163" s="204" t="str">
        <f>VLOOKUP(D163,Fontes!$A$6:$H$11629,2,FALSE)</f>
        <v>Alvenaria de vedação de blocos vazados de concreto de 19x19x39 cm (espessura 19 cm) e argamassa de assentamento com preparo em betoneira</v>
      </c>
      <c r="F163" s="203">
        <v>2384.1999999999998</v>
      </c>
      <c r="G163" s="203" t="str">
        <f>VLOOKUP(D163,Fontes!$A$6:$L$11629,3,FALSE)</f>
        <v>m2</v>
      </c>
      <c r="H163" s="203">
        <v>87.943984220907311</v>
      </c>
      <c r="I163" s="203">
        <v>44.751084812623276</v>
      </c>
      <c r="J163" s="203">
        <v>2.4930966469428013E-2</v>
      </c>
      <c r="K163" s="316">
        <f t="shared" si="42"/>
        <v>132.72</v>
      </c>
      <c r="L163" s="317">
        <f t="shared" si="43"/>
        <v>316431.02</v>
      </c>
      <c r="M163" s="318">
        <f t="shared" si="39"/>
        <v>1.145939903249058E-2</v>
      </c>
    </row>
    <row r="164" spans="2:13" s="109" customFormat="1" ht="25.5" customHeight="1" outlineLevel="1" x14ac:dyDescent="0.2">
      <c r="B164" s="114"/>
      <c r="C164" s="115"/>
      <c r="D164" s="115"/>
      <c r="E164" s="116"/>
      <c r="F164" s="117"/>
      <c r="G164" s="117"/>
      <c r="H164" s="117"/>
      <c r="I164" s="117"/>
      <c r="J164" s="117"/>
      <c r="K164" s="118"/>
      <c r="L164" s="119"/>
      <c r="M164" s="120">
        <f t="shared" si="39"/>
        <v>0</v>
      </c>
    </row>
    <row r="165" spans="2:13" s="109" customFormat="1" ht="25.5" customHeight="1" outlineLevel="1" x14ac:dyDescent="0.2">
      <c r="B165" s="217" t="s">
        <v>606</v>
      </c>
      <c r="C165" s="218"/>
      <c r="D165" s="218"/>
      <c r="E165" s="311" t="s">
        <v>274</v>
      </c>
      <c r="F165" s="219"/>
      <c r="G165" s="220"/>
      <c r="H165" s="221"/>
      <c r="I165" s="221"/>
      <c r="J165" s="219"/>
      <c r="K165" s="219"/>
      <c r="L165" s="222">
        <f>SUBTOTAL(9,L166)</f>
        <v>109263.11</v>
      </c>
      <c r="M165" s="223">
        <f t="shared" si="39"/>
        <v>3.956911610691366E-3</v>
      </c>
    </row>
    <row r="166" spans="2:13" s="313" customFormat="1" ht="36" outlineLevel="1" x14ac:dyDescent="0.2">
      <c r="B166" s="314" t="s">
        <v>607</v>
      </c>
      <c r="C166" s="315" t="str">
        <f>VLOOKUP(D166,Fontes!$A$6:$H$11629,8,FALSE)</f>
        <v>SBC / RJ</v>
      </c>
      <c r="D166" s="315">
        <v>90023</v>
      </c>
      <c r="E166" s="204" t="str">
        <f>VLOOKUP(D166,Fontes!$A$6:$H$11629,2,FALSE)</f>
        <v>Divisória em gesso acartonado, montante 90 mm, com isolamento e lã de rocha</v>
      </c>
      <c r="F166" s="203">
        <v>870.9</v>
      </c>
      <c r="G166" s="203" t="str">
        <f>VLOOKUP(D166,Fontes!$A$6:$L$11629,3,FALSE)</f>
        <v>m2</v>
      </c>
      <c r="H166" s="203">
        <v>102.13</v>
      </c>
      <c r="I166" s="203">
        <v>23.33</v>
      </c>
      <c r="J166" s="203">
        <v>0</v>
      </c>
      <c r="K166" s="316">
        <f>ROUND(+H166+I166+J166,2)</f>
        <v>125.46</v>
      </c>
      <c r="L166" s="317">
        <f>ROUND(F166*K166,2)</f>
        <v>109263.11</v>
      </c>
      <c r="M166" s="318">
        <f t="shared" si="39"/>
        <v>3.956911610691366E-3</v>
      </c>
    </row>
    <row r="167" spans="2:13" s="109" customFormat="1" ht="25.5" customHeight="1" outlineLevel="1" x14ac:dyDescent="0.2">
      <c r="B167" s="114"/>
      <c r="C167" s="115"/>
      <c r="D167" s="115"/>
      <c r="E167" s="116"/>
      <c r="F167" s="117"/>
      <c r="G167" s="117"/>
      <c r="H167" s="117"/>
      <c r="I167" s="117"/>
      <c r="J167" s="117"/>
      <c r="K167" s="118"/>
      <c r="L167" s="119"/>
      <c r="M167" s="120">
        <f t="shared" si="39"/>
        <v>0</v>
      </c>
    </row>
    <row r="168" spans="2:13" s="109" customFormat="1" ht="25.5" customHeight="1" outlineLevel="1" x14ac:dyDescent="0.2">
      <c r="B168" s="217" t="s">
        <v>608</v>
      </c>
      <c r="C168" s="218"/>
      <c r="D168" s="218"/>
      <c r="E168" s="311" t="s">
        <v>275</v>
      </c>
      <c r="F168" s="219"/>
      <c r="G168" s="220"/>
      <c r="H168" s="221"/>
      <c r="I168" s="221"/>
      <c r="J168" s="219"/>
      <c r="K168" s="219"/>
      <c r="L168" s="222">
        <f>SUBTOTAL(9,L169:L170)</f>
        <v>71967.259999999995</v>
      </c>
      <c r="M168" s="223">
        <f t="shared" si="39"/>
        <v>2.6062601246078778E-3</v>
      </c>
    </row>
    <row r="169" spans="2:13" s="313" customFormat="1" ht="72" outlineLevel="1" x14ac:dyDescent="0.2">
      <c r="B169" s="314" t="s">
        <v>609</v>
      </c>
      <c r="C169" s="315" t="str">
        <f>VLOOKUP(D169,Fontes!$A$6:$H$11629,8,FALSE)</f>
        <v>Custo Mercado Reajustado</v>
      </c>
      <c r="D169" s="315" t="s">
        <v>164</v>
      </c>
      <c r="E169" s="204" t="str">
        <f>VLOOKUP(D169,Fontes!$A$6:$H$11629,2,FALSE)</f>
        <v>Divisória sanitária em painéis de laminado estrutural TS com acabamento dupla face na cor branca, montantes de alumínio reforçado com pintura eletrostática na cor branca, 15 portas inclusas, referência Neocom ou equivalente</v>
      </c>
      <c r="F169" s="203">
        <v>56.7</v>
      </c>
      <c r="G169" s="203" t="str">
        <f>VLOOKUP(D169,Fontes!$A$6:$L$11629,3,FALSE)</f>
        <v>m2</v>
      </c>
      <c r="H169" s="203">
        <v>1227.3216620766389</v>
      </c>
      <c r="I169" s="203">
        <v>0</v>
      </c>
      <c r="J169" s="203">
        <v>0</v>
      </c>
      <c r="K169" s="316">
        <f t="shared" ref="K169:K170" si="44">ROUND(+H169+I169+J169,2)</f>
        <v>1227.32</v>
      </c>
      <c r="L169" s="317">
        <f t="shared" ref="L169:L170" si="45">ROUND(F169*K169,2)</f>
        <v>69589.039999999994</v>
      </c>
      <c r="M169" s="318">
        <f t="shared" si="39"/>
        <v>2.5201340173537606E-3</v>
      </c>
    </row>
    <row r="170" spans="2:13" s="313" customFormat="1" ht="54" outlineLevel="1" x14ac:dyDescent="0.2">
      <c r="B170" s="314" t="s">
        <v>610</v>
      </c>
      <c r="C170" s="315" t="str">
        <f>VLOOKUP(D170,Fontes!$A$6:$H$11629,8,FALSE)</f>
        <v>Custo Mercado Reajustado</v>
      </c>
      <c r="D170" s="315" t="s">
        <v>165</v>
      </c>
      <c r="E170" s="204" t="str">
        <f>VLOOKUP(D170,Fontes!$A$6:$H$11629,2,FALSE)</f>
        <v>Tapa vista em painéis de laminado estrutural TS com acabamento dupla face na cor branca, com prateleira superior, referência Neocom ou equivalente</v>
      </c>
      <c r="F170" s="203">
        <v>3</v>
      </c>
      <c r="G170" s="203" t="str">
        <f>VLOOKUP(D170,Fontes!$A$6:$L$11629,3,FALSE)</f>
        <v>un</v>
      </c>
      <c r="H170" s="203">
        <v>792.73969096284452</v>
      </c>
      <c r="I170" s="203">
        <v>0</v>
      </c>
      <c r="J170" s="203">
        <v>0</v>
      </c>
      <c r="K170" s="316">
        <f t="shared" si="44"/>
        <v>792.74</v>
      </c>
      <c r="L170" s="317">
        <f t="shared" si="45"/>
        <v>2378.2199999999998</v>
      </c>
      <c r="M170" s="318">
        <f t="shared" si="39"/>
        <v>8.6126107254117326E-5</v>
      </c>
    </row>
    <row r="171" spans="2:13" s="109" customFormat="1" ht="18" outlineLevel="1" x14ac:dyDescent="0.2">
      <c r="B171" s="114"/>
      <c r="C171" s="115"/>
      <c r="D171" s="115"/>
      <c r="E171" s="116"/>
      <c r="F171" s="117"/>
      <c r="G171" s="117"/>
      <c r="H171" s="117"/>
      <c r="I171" s="117"/>
      <c r="J171" s="117"/>
      <c r="K171" s="118"/>
      <c r="L171" s="119"/>
      <c r="M171" s="120">
        <f t="shared" si="39"/>
        <v>0</v>
      </c>
    </row>
    <row r="172" spans="2:13" s="109" customFormat="1" ht="18" outlineLevel="1" x14ac:dyDescent="0.2">
      <c r="B172" s="114"/>
      <c r="C172" s="115"/>
      <c r="D172" s="115"/>
      <c r="E172" s="116"/>
      <c r="F172" s="117"/>
      <c r="G172" s="117"/>
      <c r="H172" s="117"/>
      <c r="I172" s="117"/>
      <c r="J172" s="117"/>
      <c r="K172" s="118"/>
      <c r="L172" s="119"/>
      <c r="M172" s="120">
        <f t="shared" si="39"/>
        <v>0</v>
      </c>
    </row>
    <row r="173" spans="2:13" s="109" customFormat="1" ht="25.5" customHeight="1" outlineLevel="1" x14ac:dyDescent="0.2">
      <c r="B173" s="206">
        <v>7</v>
      </c>
      <c r="C173" s="207"/>
      <c r="D173" s="207"/>
      <c r="E173" s="309" t="s">
        <v>277</v>
      </c>
      <c r="F173" s="209"/>
      <c r="G173" s="205"/>
      <c r="H173" s="210"/>
      <c r="I173" s="210"/>
      <c r="J173" s="209"/>
      <c r="K173" s="209"/>
      <c r="L173" s="211">
        <f>SUBTOTAL(9,L174:L188)</f>
        <v>515664.55</v>
      </c>
      <c r="M173" s="212">
        <f t="shared" si="39"/>
        <v>1.867454665272605E-2</v>
      </c>
    </row>
    <row r="174" spans="2:13" s="109" customFormat="1" ht="25.5" customHeight="1" outlineLevel="1" x14ac:dyDescent="0.2">
      <c r="B174" s="217" t="s">
        <v>611</v>
      </c>
      <c r="C174" s="218"/>
      <c r="D174" s="218"/>
      <c r="E174" s="311" t="s">
        <v>278</v>
      </c>
      <c r="F174" s="219"/>
      <c r="G174" s="220"/>
      <c r="H174" s="221"/>
      <c r="I174" s="221"/>
      <c r="J174" s="219"/>
      <c r="K174" s="219"/>
      <c r="L174" s="222">
        <f>SUBTOTAL(9,L175:L177)</f>
        <v>10952.39</v>
      </c>
      <c r="M174" s="223">
        <f t="shared" si="39"/>
        <v>3.9663559966231975E-4</v>
      </c>
    </row>
    <row r="175" spans="2:13" s="313" customFormat="1" ht="36" outlineLevel="1" x14ac:dyDescent="0.2">
      <c r="B175" s="314" t="s">
        <v>612</v>
      </c>
      <c r="C175" s="315" t="str">
        <f>VLOOKUP(D175,Fontes!$A$6:$H$11629,8,FALSE)</f>
        <v>SINAPI / RJ</v>
      </c>
      <c r="D175" s="315">
        <v>98561</v>
      </c>
      <c r="E175" s="204" t="str">
        <f>VLOOKUP(D175,Fontes!$A$6:$H$11629,2,FALSE)</f>
        <v>Impermeabilização de paredes com argamassa de cimento e areia, com aditivo impermeabilizante, e = 2cm</v>
      </c>
      <c r="F175" s="203">
        <v>33.200000000000003</v>
      </c>
      <c r="G175" s="203" t="str">
        <f>VLOOKUP(D175,Fontes!$A$6:$L$11629,3,FALSE)</f>
        <v>m2</v>
      </c>
      <c r="H175" s="203">
        <v>28.631796341194629</v>
      </c>
      <c r="I175" s="203">
        <v>35.63729777385938</v>
      </c>
      <c r="J175" s="203">
        <v>7.0905884945999573E-2</v>
      </c>
      <c r="K175" s="316">
        <f t="shared" ref="K175:K176" si="46">ROUND(+H175+I175+J175,2)</f>
        <v>64.34</v>
      </c>
      <c r="L175" s="317">
        <f t="shared" ref="L175:L176" si="47">ROUND(F175*K175,2)</f>
        <v>2136.09</v>
      </c>
      <c r="M175" s="318">
        <f t="shared" si="39"/>
        <v>7.7357484355714565E-5</v>
      </c>
    </row>
    <row r="176" spans="2:13" s="313" customFormat="1" ht="18" outlineLevel="1" x14ac:dyDescent="0.2">
      <c r="B176" s="314" t="s">
        <v>2001</v>
      </c>
      <c r="C176" s="315" t="str">
        <f>VLOOKUP(D176,Fontes!$A$6:$H$11629,8,FALSE)</f>
        <v>FACC</v>
      </c>
      <c r="D176" s="315" t="s">
        <v>1291</v>
      </c>
      <c r="E176" s="204" t="s">
        <v>279</v>
      </c>
      <c r="F176" s="203">
        <v>423.25</v>
      </c>
      <c r="G176" s="203" t="str">
        <f>VLOOKUP(D176,Fontes!$A$6:$L$11629,3,FALSE)</f>
        <v>m2</v>
      </c>
      <c r="H176" s="203">
        <v>7.98</v>
      </c>
      <c r="I176" s="203">
        <v>12.85</v>
      </c>
      <c r="J176" s="203">
        <v>0</v>
      </c>
      <c r="K176" s="316">
        <f t="shared" si="46"/>
        <v>20.83</v>
      </c>
      <c r="L176" s="317">
        <f t="shared" si="47"/>
        <v>8816.2999999999993</v>
      </c>
      <c r="M176" s="318">
        <f t="shared" si="39"/>
        <v>3.1927811530660518E-4</v>
      </c>
    </row>
    <row r="177" spans="2:13" s="109" customFormat="1" ht="18" outlineLevel="1" x14ac:dyDescent="0.2">
      <c r="B177" s="114"/>
      <c r="C177" s="115"/>
      <c r="D177" s="115"/>
      <c r="E177" s="116"/>
      <c r="F177" s="117"/>
      <c r="G177" s="117"/>
      <c r="H177" s="117"/>
      <c r="I177" s="117"/>
      <c r="J177" s="117"/>
      <c r="K177" s="118"/>
      <c r="L177" s="119"/>
      <c r="M177" s="120">
        <f t="shared" si="39"/>
        <v>0</v>
      </c>
    </row>
    <row r="178" spans="2:13" s="109" customFormat="1" ht="25.5" customHeight="1" outlineLevel="1" x14ac:dyDescent="0.2">
      <c r="B178" s="217" t="s">
        <v>545</v>
      </c>
      <c r="C178" s="218"/>
      <c r="D178" s="218"/>
      <c r="E178" s="311" t="s">
        <v>280</v>
      </c>
      <c r="F178" s="219"/>
      <c r="G178" s="220"/>
      <c r="H178" s="221"/>
      <c r="I178" s="221"/>
      <c r="J178" s="219"/>
      <c r="K178" s="219"/>
      <c r="L178" s="222">
        <f>SUBTOTAL(9,L179:L180)</f>
        <v>111767.55</v>
      </c>
      <c r="M178" s="223">
        <f t="shared" si="39"/>
        <v>4.0476087152702114E-3</v>
      </c>
    </row>
    <row r="179" spans="2:13" s="313" customFormat="1" ht="36" outlineLevel="1" x14ac:dyDescent="0.2">
      <c r="B179" s="314" t="s">
        <v>2002</v>
      </c>
      <c r="C179" s="315" t="str">
        <f>VLOOKUP(D179,Fontes!$A$6:$H$11629,8,FALSE)</f>
        <v>SBC / RJ</v>
      </c>
      <c r="D179" s="315">
        <v>160621</v>
      </c>
      <c r="E179" s="204" t="str">
        <f>VLOOKUP(D179,Fontes!$A$6:$H$11629,2,FALSE)</f>
        <v>Impermeabilização rígida sobre estrutura de concreto por cristalização</v>
      </c>
      <c r="F179" s="203">
        <v>707.3</v>
      </c>
      <c r="G179" s="203" t="str">
        <f>VLOOKUP(D179,Fontes!$A$6:$L$11629,3,FALSE)</f>
        <v>m2</v>
      </c>
      <c r="H179" s="203">
        <v>96.160000000000011</v>
      </c>
      <c r="I179" s="203">
        <v>61.86</v>
      </c>
      <c r="J179" s="203">
        <v>0</v>
      </c>
      <c r="K179" s="316">
        <f>ROUND(+H179+I179+J179,2)</f>
        <v>158.02000000000001</v>
      </c>
      <c r="L179" s="317">
        <f>ROUND(F179*K179,2)</f>
        <v>111767.55</v>
      </c>
      <c r="M179" s="318">
        <f t="shared" si="39"/>
        <v>4.0476087152702114E-3</v>
      </c>
    </row>
    <row r="180" spans="2:13" s="109" customFormat="1" ht="18" outlineLevel="1" x14ac:dyDescent="0.2">
      <c r="B180" s="114"/>
      <c r="C180" s="115"/>
      <c r="D180" s="115"/>
      <c r="E180" s="116"/>
      <c r="F180" s="117"/>
      <c r="G180" s="117"/>
      <c r="H180" s="117"/>
      <c r="I180" s="117"/>
      <c r="J180" s="117"/>
      <c r="K180" s="118"/>
      <c r="L180" s="119"/>
      <c r="M180" s="120">
        <f t="shared" si="39"/>
        <v>0</v>
      </c>
    </row>
    <row r="181" spans="2:13" s="109" customFormat="1" ht="18" outlineLevel="1" x14ac:dyDescent="0.2">
      <c r="B181" s="124" t="s">
        <v>613</v>
      </c>
      <c r="C181" s="125"/>
      <c r="D181" s="125"/>
      <c r="E181" s="312" t="s">
        <v>281</v>
      </c>
      <c r="F181" s="126"/>
      <c r="G181" s="127"/>
      <c r="H181" s="128"/>
      <c r="I181" s="128"/>
      <c r="J181" s="129"/>
      <c r="K181" s="129"/>
      <c r="L181" s="131">
        <f>SUBTOTAL(9,L182:L186)</f>
        <v>381268.06</v>
      </c>
      <c r="M181" s="130">
        <f t="shared" si="39"/>
        <v>1.3807441627826374E-2</v>
      </c>
    </row>
    <row r="182" spans="2:13" s="313" customFormat="1" ht="36" outlineLevel="1" x14ac:dyDescent="0.2">
      <c r="B182" s="314" t="s">
        <v>2003</v>
      </c>
      <c r="C182" s="315" t="str">
        <f>VLOOKUP(D182,Fontes!$A$6:$H$11629,8,FALSE)</f>
        <v>SBC / RJ</v>
      </c>
      <c r="D182" s="315">
        <v>160016</v>
      </c>
      <c r="E182" s="204" t="str">
        <f>VLOOKUP(D182,Fontes!$A$6:$H$11629,2,FALSE)</f>
        <v>Impermeabilização de lajes com manta asfáltica 4 mm incluso regularização de base</v>
      </c>
      <c r="F182" s="203">
        <v>1388</v>
      </c>
      <c r="G182" s="203" t="str">
        <f>VLOOKUP(D182,Fontes!$A$6:$L$11629,3,FALSE)</f>
        <v>m2</v>
      </c>
      <c r="H182" s="203">
        <v>66.09</v>
      </c>
      <c r="I182" s="203">
        <v>144.13</v>
      </c>
      <c r="J182" s="203">
        <v>0</v>
      </c>
      <c r="K182" s="316">
        <f t="shared" ref="K182:K185" si="48">ROUND(+H182+I182+J182,2)</f>
        <v>210.22</v>
      </c>
      <c r="L182" s="317">
        <f t="shared" ref="L182:L185" si="49">ROUND(F182*K182,2)</f>
        <v>291785.36</v>
      </c>
      <c r="M182" s="318">
        <f t="shared" ref="M182:M189" si="50">+L182/$L$851</f>
        <v>1.0566868166335005E-2</v>
      </c>
    </row>
    <row r="183" spans="2:13" s="313" customFormat="1" ht="36" outlineLevel="1" x14ac:dyDescent="0.2">
      <c r="B183" s="314" t="s">
        <v>614</v>
      </c>
      <c r="C183" s="315" t="str">
        <f>VLOOKUP(D183,Fontes!$A$6:$H$11629,8,FALSE)</f>
        <v>SINAPI / RJ</v>
      </c>
      <c r="D183" s="315">
        <v>98563</v>
      </c>
      <c r="E183" s="204" t="str">
        <f>VLOOKUP(D183,Fontes!$A$6:$H$11629,2,FALSE)</f>
        <v>Proteção mecânica de superfície horizontal com argamassa de cimento e areia, traço 1:3, e=2cm</v>
      </c>
      <c r="F183" s="203">
        <f>(1136.29+13.95)-F184</f>
        <v>346.66999999999996</v>
      </c>
      <c r="G183" s="203" t="str">
        <f>VLOOKUP(D183,Fontes!$A$6:$L$11629,3,FALSE)</f>
        <v>m2</v>
      </c>
      <c r="H183" s="203">
        <v>25.768852932678413</v>
      </c>
      <c r="I183" s="203">
        <v>21.171147067321581</v>
      </c>
      <c r="J183" s="203">
        <v>0</v>
      </c>
      <c r="K183" s="316">
        <f t="shared" si="48"/>
        <v>46.94</v>
      </c>
      <c r="L183" s="317">
        <f t="shared" si="49"/>
        <v>16272.69</v>
      </c>
      <c r="M183" s="318">
        <f t="shared" si="50"/>
        <v>5.893077361442602E-4</v>
      </c>
    </row>
    <row r="184" spans="2:13" s="313" customFormat="1" ht="36" outlineLevel="1" x14ac:dyDescent="0.2">
      <c r="B184" s="314" t="s">
        <v>615</v>
      </c>
      <c r="C184" s="315" t="str">
        <f>VLOOKUP(D184,Fontes!$A$6:$H$11629,8,FALSE)</f>
        <v>SINAPI / RJ</v>
      </c>
      <c r="D184" s="315">
        <v>98565</v>
      </c>
      <c r="E184" s="204" t="str">
        <f>VLOOKUP(D184,Fontes!$A$6:$H$11629,2,FALSE)</f>
        <v>Proteção mecânica de superficie horizontal com argamassa de cimento e areia, traço 1:3, e=3cm</v>
      </c>
      <c r="F184" s="203">
        <v>803.57</v>
      </c>
      <c r="G184" s="203" t="str">
        <f>VLOOKUP(D184,Fontes!$A$6:$L$11629,3,FALSE)</f>
        <v>m2</v>
      </c>
      <c r="H184" s="203">
        <v>35.436464022324095</v>
      </c>
      <c r="I184" s="203">
        <v>31.753535977675899</v>
      </c>
      <c r="J184" s="203">
        <v>0</v>
      </c>
      <c r="K184" s="316">
        <f t="shared" si="48"/>
        <v>67.19</v>
      </c>
      <c r="L184" s="317">
        <f t="shared" si="49"/>
        <v>53991.87</v>
      </c>
      <c r="M184" s="318">
        <f t="shared" si="50"/>
        <v>1.9552899170263306E-3</v>
      </c>
    </row>
    <row r="185" spans="2:13" s="313" customFormat="1" ht="36" outlineLevel="1" x14ac:dyDescent="0.2">
      <c r="B185" s="314" t="s">
        <v>616</v>
      </c>
      <c r="C185" s="315" t="str">
        <f>VLOOKUP(D185,Fontes!$A$6:$H$11629,8,FALSE)</f>
        <v>SINAPI / RJ</v>
      </c>
      <c r="D185" s="315">
        <v>98566</v>
      </c>
      <c r="E185" s="204" t="str">
        <f>VLOOKUP(D185,Fontes!$A$6:$H$11629,2,FALSE)</f>
        <v>Proteção mecânica de superfície vertical com argamassa de cimento e areia, traço 1:3, e=3cm</v>
      </c>
      <c r="F185" s="203">
        <f>F182-F183-F184</f>
        <v>237.75999999999988</v>
      </c>
      <c r="G185" s="203" t="str">
        <f>VLOOKUP(D185,Fontes!$A$6:$L$11629,3,FALSE)</f>
        <v>m2</v>
      </c>
      <c r="H185" s="203">
        <v>51.285241379310335</v>
      </c>
      <c r="I185" s="203">
        <v>29.544758620689652</v>
      </c>
      <c r="J185" s="203">
        <v>0</v>
      </c>
      <c r="K185" s="316">
        <f t="shared" si="48"/>
        <v>80.83</v>
      </c>
      <c r="L185" s="317">
        <f t="shared" si="49"/>
        <v>19218.14</v>
      </c>
      <c r="M185" s="318">
        <f t="shared" si="50"/>
        <v>6.9597580832077874E-4</v>
      </c>
    </row>
    <row r="186" spans="2:13" s="109" customFormat="1" ht="18" outlineLevel="1" x14ac:dyDescent="0.2">
      <c r="B186" s="114"/>
      <c r="C186" s="115"/>
      <c r="D186" s="115"/>
      <c r="E186" s="116"/>
      <c r="F186" s="117"/>
      <c r="G186" s="117"/>
      <c r="H186" s="117"/>
      <c r="I186" s="117"/>
      <c r="J186" s="117"/>
      <c r="K186" s="118"/>
      <c r="L186" s="119"/>
      <c r="M186" s="120">
        <f t="shared" si="50"/>
        <v>0</v>
      </c>
    </row>
    <row r="187" spans="2:13" s="109" customFormat="1" ht="25.5" customHeight="1" outlineLevel="1" x14ac:dyDescent="0.2">
      <c r="B187" s="124" t="s">
        <v>617</v>
      </c>
      <c r="C187" s="125"/>
      <c r="D187" s="125"/>
      <c r="E187" s="312" t="s">
        <v>282</v>
      </c>
      <c r="F187" s="126"/>
      <c r="G187" s="127"/>
      <c r="H187" s="128"/>
      <c r="I187" s="128"/>
      <c r="J187" s="129"/>
      <c r="K187" s="129"/>
      <c r="L187" s="131">
        <f>SUBTOTAL(9,L188:L188)</f>
        <v>11676.55</v>
      </c>
      <c r="M187" s="130">
        <f t="shared" si="50"/>
        <v>4.2286070996714502E-4</v>
      </c>
    </row>
    <row r="188" spans="2:13" s="313" customFormat="1" ht="36" outlineLevel="1" x14ac:dyDescent="0.2">
      <c r="B188" s="314" t="s">
        <v>618</v>
      </c>
      <c r="C188" s="315" t="str">
        <f>VLOOKUP(D188,Fontes!$A$6:$H$11629,8,FALSE)</f>
        <v>SINAPI / RJ</v>
      </c>
      <c r="D188" s="315">
        <v>98556</v>
      </c>
      <c r="E188" s="204" t="str">
        <f>VLOOKUP(D188,Fontes!$A$6:$H$11629,2,FALSE)</f>
        <v>Impermeabilização de superfície com argamassa polimérica / membrana acrílica, 4 demãos, reforçada com véu de poliéster</v>
      </c>
      <c r="F188" s="203">
        <v>153.74</v>
      </c>
      <c r="G188" s="203" t="str">
        <f>VLOOKUP(D188,Fontes!$A$6:$L$11629,3,FALSE)</f>
        <v>m2</v>
      </c>
      <c r="H188" s="203">
        <v>41.688408779149519</v>
      </c>
      <c r="I188" s="203">
        <v>34.261591220850484</v>
      </c>
      <c r="J188" s="203">
        <v>0</v>
      </c>
      <c r="K188" s="316">
        <f>ROUND(+H188+I188+J188,2)</f>
        <v>75.95</v>
      </c>
      <c r="L188" s="317">
        <f>ROUND(F188*K188,2)</f>
        <v>11676.55</v>
      </c>
      <c r="M188" s="318">
        <f t="shared" si="50"/>
        <v>4.2286070996714502E-4</v>
      </c>
    </row>
    <row r="189" spans="2:13" s="109" customFormat="1" ht="18" outlineLevel="1" x14ac:dyDescent="0.2">
      <c r="B189" s="114"/>
      <c r="C189" s="115"/>
      <c r="D189" s="115"/>
      <c r="E189" s="116"/>
      <c r="F189" s="117"/>
      <c r="G189" s="117"/>
      <c r="H189" s="117"/>
      <c r="I189" s="117"/>
      <c r="J189" s="117"/>
      <c r="K189" s="118"/>
      <c r="L189" s="119"/>
      <c r="M189" s="120">
        <f t="shared" si="50"/>
        <v>0</v>
      </c>
    </row>
    <row r="190" spans="2:13" s="109" customFormat="1" ht="18" outlineLevel="1" x14ac:dyDescent="0.2">
      <c r="B190" s="114"/>
      <c r="C190" s="115"/>
      <c r="D190" s="115"/>
      <c r="E190" s="116"/>
      <c r="F190" s="117"/>
      <c r="G190" s="117"/>
      <c r="H190" s="117"/>
      <c r="I190" s="117"/>
      <c r="J190" s="117"/>
      <c r="K190" s="118"/>
      <c r="L190" s="119"/>
      <c r="M190" s="120"/>
    </row>
    <row r="191" spans="2:13" s="109" customFormat="1" ht="25.5" customHeight="1" outlineLevel="1" x14ac:dyDescent="0.2">
      <c r="B191" s="206">
        <v>8</v>
      </c>
      <c r="C191" s="207"/>
      <c r="D191" s="207"/>
      <c r="E191" s="309" t="s">
        <v>283</v>
      </c>
      <c r="F191" s="209"/>
      <c r="G191" s="205"/>
      <c r="H191" s="210"/>
      <c r="I191" s="210"/>
      <c r="J191" s="209"/>
      <c r="K191" s="209"/>
      <c r="L191" s="211">
        <f>SUBTOTAL(9,L192:L254)</f>
        <v>2993468.2199999997</v>
      </c>
      <c r="M191" s="212">
        <f t="shared" ref="M191:M199" si="51">+L191/$L$851</f>
        <v>0.10840702919726168</v>
      </c>
    </row>
    <row r="192" spans="2:13" s="109" customFormat="1" ht="25.5" customHeight="1" outlineLevel="1" x14ac:dyDescent="0.2">
      <c r="B192" s="217" t="s">
        <v>619</v>
      </c>
      <c r="C192" s="218"/>
      <c r="D192" s="218"/>
      <c r="E192" s="311" t="s">
        <v>284</v>
      </c>
      <c r="F192" s="219"/>
      <c r="G192" s="220"/>
      <c r="H192" s="221"/>
      <c r="I192" s="221"/>
      <c r="J192" s="219"/>
      <c r="K192" s="219"/>
      <c r="L192" s="222">
        <f>SUBTOTAL(9,L194:L208)</f>
        <v>172564.13</v>
      </c>
      <c r="M192" s="223">
        <f t="shared" si="51"/>
        <v>6.2493279715894433E-3</v>
      </c>
    </row>
    <row r="193" spans="2:16" s="313" customFormat="1" ht="18" outlineLevel="1" x14ac:dyDescent="0.2">
      <c r="B193" s="314" t="s">
        <v>620</v>
      </c>
      <c r="C193" s="315"/>
      <c r="D193" s="315"/>
      <c r="E193" s="319" t="s">
        <v>1153</v>
      </c>
      <c r="F193" s="203"/>
      <c r="G193" s="203"/>
      <c r="H193" s="203"/>
      <c r="I193" s="203"/>
      <c r="J193" s="203"/>
      <c r="K193" s="316"/>
      <c r="L193" s="317"/>
      <c r="M193" s="318">
        <f t="shared" si="51"/>
        <v>0</v>
      </c>
    </row>
    <row r="194" spans="2:16" s="313" customFormat="1" ht="36" outlineLevel="1" x14ac:dyDescent="0.2">
      <c r="B194" s="314" t="s">
        <v>2004</v>
      </c>
      <c r="C194" s="315" t="str">
        <f>VLOOKUP(D194,Fontes!$A$6:$H$11629,8,FALSE)</f>
        <v>SINAPI / RJ</v>
      </c>
      <c r="D194" s="315">
        <v>90791</v>
      </c>
      <c r="E194" s="204" t="str">
        <f>VLOOKUP(D194,Fontes!$A$6:$H$11629,2,FALSE)</f>
        <v>Kit de porta-pronta de madeira em acabamento melamínico branco, folha pesada ou superpesada, 80 x 210 cm</v>
      </c>
      <c r="F194" s="203">
        <v>5</v>
      </c>
      <c r="G194" s="203" t="str">
        <f>VLOOKUP(D194,Fontes!$A$6:$L$11629,3,FALSE)</f>
        <v>un</v>
      </c>
      <c r="H194" s="203">
        <v>1178.200666893151</v>
      </c>
      <c r="I194" s="203">
        <v>30.179333106849096</v>
      </c>
      <c r="J194" s="203">
        <v>0</v>
      </c>
      <c r="K194" s="316">
        <f t="shared" ref="K194" si="52">ROUND(+H194+I194+J194,2)</f>
        <v>1208.3800000000001</v>
      </c>
      <c r="L194" s="317">
        <f t="shared" ref="L194" si="53">ROUND(F194*K194,2)</f>
        <v>6041.9</v>
      </c>
      <c r="M194" s="318">
        <f t="shared" si="51"/>
        <v>2.1880453760318703E-4</v>
      </c>
    </row>
    <row r="195" spans="2:16" s="313" customFormat="1" ht="36" outlineLevel="1" x14ac:dyDescent="0.2">
      <c r="B195" s="314" t="s">
        <v>2005</v>
      </c>
      <c r="C195" s="315" t="str">
        <f>VLOOKUP(D195,Fontes!$A$6:$H$11629,8,FALSE)</f>
        <v>SINAPI / RJ</v>
      </c>
      <c r="D195" s="315">
        <v>90793</v>
      </c>
      <c r="E195" s="204" t="str">
        <f>VLOOKUP(D195,Fontes!$A$6:$H$11629,2,FALSE)</f>
        <v>Kit de porta-pronta de madeira em acabamento melamínico branco, folha pesada ou superpesada, 90 x 210 cm</v>
      </c>
      <c r="F195" s="203">
        <v>23</v>
      </c>
      <c r="G195" s="203" t="str">
        <f>VLOOKUP(D195,Fontes!$A$6:$L$11629,3,FALSE)</f>
        <v>un</v>
      </c>
      <c r="H195" s="203">
        <v>1228.0509799586957</v>
      </c>
      <c r="I195" s="203">
        <v>36.829020041304283</v>
      </c>
      <c r="J195" s="203">
        <v>0</v>
      </c>
      <c r="K195" s="316">
        <f t="shared" ref="K195" si="54">ROUND(+H195+I195+J195,2)</f>
        <v>1264.8800000000001</v>
      </c>
      <c r="L195" s="317">
        <f t="shared" ref="L195" si="55">ROUND(F195*K195,2)</f>
        <v>29092.240000000002</v>
      </c>
      <c r="M195" s="318">
        <f t="shared" si="51"/>
        <v>1.0535616479983023E-3</v>
      </c>
    </row>
    <row r="196" spans="2:16" s="313" customFormat="1" ht="90" outlineLevel="1" x14ac:dyDescent="0.2">
      <c r="B196" s="314" t="s">
        <v>2006</v>
      </c>
      <c r="C196" s="315" t="str">
        <f>VLOOKUP(D196,Fontes!$A$6:$H$11629,8,FALSE)</f>
        <v>FACC</v>
      </c>
      <c r="D196" s="315" t="s">
        <v>1293</v>
      </c>
      <c r="E196" s="204" t="str">
        <f>VLOOKUP(D196,Fontes!$A$6:$H$11629,2,FALSE)</f>
        <v>P-08 - Porta dupla de madeira com acabamento em laminado melamínico texturizado, incluindo ferragens, batentes em chapa de aço dobrada, para instalação de visor em caixilho de alumínio com vidro laminado 6 mm fixo 0,24 x 1,95 m, dimensões 1,32 x 2,11 m</v>
      </c>
      <c r="F196" s="203">
        <v>7</v>
      </c>
      <c r="G196" s="203" t="str">
        <f>VLOOKUP(D196,Fontes!$A$6:$L$11629,3,FALSE)</f>
        <v>un</v>
      </c>
      <c r="H196" s="203">
        <v>2578.9899999999998</v>
      </c>
      <c r="I196" s="203">
        <v>666.4</v>
      </c>
      <c r="J196" s="203">
        <v>0</v>
      </c>
      <c r="K196" s="316">
        <f t="shared" ref="K196:K199" si="56">ROUND(+H196+I196+J196,2)</f>
        <v>3245.39</v>
      </c>
      <c r="L196" s="317">
        <f t="shared" ref="L196:L199" si="57">ROUND(F196*K196,2)</f>
        <v>22717.73</v>
      </c>
      <c r="M196" s="318">
        <f t="shared" si="51"/>
        <v>8.2271179728960267E-4</v>
      </c>
    </row>
    <row r="197" spans="2:16" s="313" customFormat="1" ht="90" outlineLevel="1" x14ac:dyDescent="0.2">
      <c r="B197" s="314" t="s">
        <v>2007</v>
      </c>
      <c r="C197" s="315" t="str">
        <f>VLOOKUP(D197,Fontes!$A$6:$H$11629,8,FALSE)</f>
        <v>FACC</v>
      </c>
      <c r="D197" s="315" t="s">
        <v>1294</v>
      </c>
      <c r="E197" s="204" t="str">
        <f>VLOOKUP(D197,Fontes!$A$6:$H$11629,2,FALSE)</f>
        <v>P-11 - Porta dupla de madeira com acabamento em laminado melamínico texturizado, incluindo ferragens, batentes em chapa de aço dobrada, para instalação de dois visores em caixilho de alumínio com vidro laminado 6 mm fixo 0,24 x 1,95 m, dimensões 1,32 x 2,11 m</v>
      </c>
      <c r="F197" s="203">
        <v>5</v>
      </c>
      <c r="G197" s="203" t="str">
        <f>VLOOKUP(D197,Fontes!$A$6:$L$11629,3,FALSE)</f>
        <v>un</v>
      </c>
      <c r="H197" s="203">
        <v>2578.9899999999998</v>
      </c>
      <c r="I197" s="203">
        <v>666.4</v>
      </c>
      <c r="J197" s="203">
        <v>0</v>
      </c>
      <c r="K197" s="316">
        <f t="shared" si="56"/>
        <v>3245.39</v>
      </c>
      <c r="L197" s="317">
        <f t="shared" si="57"/>
        <v>16226.95</v>
      </c>
      <c r="M197" s="318">
        <f t="shared" si="51"/>
        <v>5.8765128377828767E-4</v>
      </c>
    </row>
    <row r="198" spans="2:16" s="313" customFormat="1" ht="36" outlineLevel="1" x14ac:dyDescent="0.2">
      <c r="B198" s="314" t="s">
        <v>2008</v>
      </c>
      <c r="C198" s="315" t="str">
        <f>VLOOKUP(D198,Fontes!$A$6:$H$11629,8,FALSE)</f>
        <v>SBC / RJ</v>
      </c>
      <c r="D198" s="315">
        <v>110046</v>
      </c>
      <c r="E198" s="204" t="str">
        <f>VLOOKUP(D198,Fontes!$A$6:$H$11629,2,FALSE)</f>
        <v>Porta acústica dupla com pintura branca, dimensões 1,20 x 2,10 m</v>
      </c>
      <c r="F198" s="203">
        <v>1</v>
      </c>
      <c r="G198" s="203" t="str">
        <f>VLOOKUP(D198,Fontes!$A$6:$L$11629,3,FALSE)</f>
        <v>un</v>
      </c>
      <c r="H198" s="203">
        <v>12063.71</v>
      </c>
      <c r="I198" s="203">
        <v>0</v>
      </c>
      <c r="J198" s="203">
        <v>0</v>
      </c>
      <c r="K198" s="316">
        <f t="shared" si="56"/>
        <v>12063.71</v>
      </c>
      <c r="L198" s="317">
        <f>ROUND(F198*K198,2)</f>
        <v>12063.71</v>
      </c>
      <c r="M198" s="318">
        <f t="shared" si="51"/>
        <v>4.3688152540243024E-4</v>
      </c>
    </row>
    <row r="199" spans="2:16" s="313" customFormat="1" ht="54" outlineLevel="1" x14ac:dyDescent="0.2">
      <c r="B199" s="314" t="s">
        <v>2009</v>
      </c>
      <c r="C199" s="315" t="str">
        <f>VLOOKUP(D199,Fontes!$A$6:$H$11629,8,FALSE)</f>
        <v>FACC</v>
      </c>
      <c r="D199" s="315" t="s">
        <v>1295</v>
      </c>
      <c r="E199" s="204" t="str">
        <f>VLOOKUP(D199,Fontes!$A$6:$H$11629,2,FALSE)</f>
        <v>P-13 - Porta dupla de madeira com acabamento em laminado melamínico texturizado, incluindo ferragens, batentes em chapa de aço dobrada, dimensões 1,60 x 2,11 m</v>
      </c>
      <c r="F199" s="203">
        <v>2</v>
      </c>
      <c r="G199" s="203" t="str">
        <f>VLOOKUP(D199,Fontes!$A$6:$L$11629,3,FALSE)</f>
        <v>un</v>
      </c>
      <c r="H199" s="203">
        <v>3361.49</v>
      </c>
      <c r="I199" s="203">
        <v>666.4</v>
      </c>
      <c r="J199" s="203">
        <v>0</v>
      </c>
      <c r="K199" s="316">
        <f t="shared" si="56"/>
        <v>4027.89</v>
      </c>
      <c r="L199" s="317">
        <f t="shared" si="57"/>
        <v>8055.78</v>
      </c>
      <c r="M199" s="318">
        <f t="shared" si="51"/>
        <v>2.9173624487876366E-4</v>
      </c>
    </row>
    <row r="200" spans="2:16" s="313" customFormat="1" ht="36" outlineLevel="1" x14ac:dyDescent="0.2">
      <c r="B200" s="314" t="s">
        <v>2010</v>
      </c>
      <c r="C200" s="315"/>
      <c r="D200" s="315"/>
      <c r="E200" s="204" t="s">
        <v>285</v>
      </c>
      <c r="F200" s="203">
        <v>15</v>
      </c>
      <c r="G200" s="203"/>
      <c r="H200" s="203"/>
      <c r="I200" s="203"/>
      <c r="J200" s="203"/>
      <c r="K200" s="316"/>
      <c r="L200" s="317" t="s">
        <v>1403</v>
      </c>
      <c r="M200" s="318"/>
    </row>
    <row r="201" spans="2:16" s="313" customFormat="1" ht="36" outlineLevel="1" x14ac:dyDescent="0.2">
      <c r="B201" s="314" t="s">
        <v>2011</v>
      </c>
      <c r="C201" s="315" t="str">
        <f>VLOOKUP(D201,Fontes!$A$6:$H$11629,8,FALSE)</f>
        <v>SBC / RJ</v>
      </c>
      <c r="D201" s="315">
        <v>110037</v>
      </c>
      <c r="E201" s="204" t="str">
        <f>VLOOKUP(D201,Fontes!$A$6:$H$11629,2,FALSE)</f>
        <v>Porta completa para armário (shaft) duas folhas revestida em laminado melamínico, 1,80 x 2,10 m</v>
      </c>
      <c r="F201" s="203">
        <v>9</v>
      </c>
      <c r="G201" s="203" t="str">
        <f>VLOOKUP(D201,Fontes!$A$6:$L$11629,3,FALSE)</f>
        <v>un</v>
      </c>
      <c r="H201" s="203">
        <v>933.58999999999992</v>
      </c>
      <c r="I201" s="203">
        <v>364.48</v>
      </c>
      <c r="J201" s="203">
        <v>0</v>
      </c>
      <c r="K201" s="316">
        <f t="shared" ref="K201" si="58">ROUND(+H201+I201+J201,2)</f>
        <v>1298.07</v>
      </c>
      <c r="L201" s="317">
        <f t="shared" ref="L201" si="59">ROUND(F201*K201,2)</f>
        <v>11682.63</v>
      </c>
      <c r="M201" s="318">
        <f t="shared" ref="M201:M264" si="60">+L201/$L$851</f>
        <v>4.2308089427814442E-4</v>
      </c>
    </row>
    <row r="202" spans="2:16" s="313" customFormat="1" ht="54" outlineLevel="1" x14ac:dyDescent="0.2">
      <c r="B202" s="314" t="s">
        <v>2012</v>
      </c>
      <c r="C202" s="315" t="str">
        <f>VLOOKUP(D202,Fontes!$A$6:$H$11629,8,FALSE)</f>
        <v>Custo Mercado Reajustado</v>
      </c>
      <c r="D202" s="315" t="s">
        <v>1353</v>
      </c>
      <c r="E202" s="204" t="str">
        <f>VLOOKUP(D202,Fontes!$A$6:$H$11629,2,FALSE)</f>
        <v>Caixilho veneziana em alumínio com pintura eletrostática na cor branca, para fixação em portas de madeira, dimensões 0,33 x 0,23 m</v>
      </c>
      <c r="F202" s="203">
        <v>24</v>
      </c>
      <c r="G202" s="203" t="str">
        <f>VLOOKUP(D202,Fontes!$A$6:$L$11629,3,FALSE)</f>
        <v>un</v>
      </c>
      <c r="H202" s="203">
        <v>320.52499999999998</v>
      </c>
      <c r="I202" s="203">
        <v>0</v>
      </c>
      <c r="J202" s="203">
        <v>0</v>
      </c>
      <c r="K202" s="316">
        <f t="shared" ref="K202:K205" si="61">ROUND(+H202+I202+J202,2)</f>
        <v>320.52999999999997</v>
      </c>
      <c r="L202" s="317">
        <f t="shared" ref="L202:L205" si="62">ROUND(F202*K202,2)</f>
        <v>7692.72</v>
      </c>
      <c r="M202" s="318">
        <f t="shared" si="60"/>
        <v>2.7858819949201229E-4</v>
      </c>
    </row>
    <row r="203" spans="2:16" s="313" customFormat="1" ht="54" outlineLevel="1" x14ac:dyDescent="0.2">
      <c r="B203" s="314" t="s">
        <v>2013</v>
      </c>
      <c r="C203" s="315" t="str">
        <f>VLOOKUP(D203,Fontes!$A$6:$H$11629,8,FALSE)</f>
        <v>Custo Mercado Reajustado</v>
      </c>
      <c r="D203" s="315" t="s">
        <v>1354</v>
      </c>
      <c r="E203" s="204" t="str">
        <f>VLOOKUP(D203,Fontes!$A$6:$H$11629,2,FALSE)</f>
        <v>Caixilho fixo em alumínio com pintura eletrostática na cor branca com vidro laminado 8 mm, para fixação em portas de madeira, dimensões 0,24 x 1,95 m</v>
      </c>
      <c r="F203" s="203">
        <v>22</v>
      </c>
      <c r="G203" s="203" t="str">
        <f>VLOOKUP(D203,Fontes!$A$6:$L$11629,3,FALSE)</f>
        <v>un</v>
      </c>
      <c r="H203" s="203">
        <v>705.15499999999997</v>
      </c>
      <c r="I203" s="203">
        <v>0</v>
      </c>
      <c r="J203" s="203">
        <v>0</v>
      </c>
      <c r="K203" s="316">
        <f t="shared" si="61"/>
        <v>705.16</v>
      </c>
      <c r="L203" s="317">
        <f t="shared" si="62"/>
        <v>15513.52</v>
      </c>
      <c r="M203" s="318">
        <f t="shared" si="60"/>
        <v>5.6181475532494647E-4</v>
      </c>
    </row>
    <row r="204" spans="2:16" s="313" customFormat="1" ht="18" outlineLevel="1" x14ac:dyDescent="0.2">
      <c r="B204" s="314" t="s">
        <v>2014</v>
      </c>
      <c r="C204" s="315" t="str">
        <f>VLOOKUP(D204,Fontes!$A$6:$H$11629,8,FALSE)</f>
        <v>SINAPI / RJ</v>
      </c>
      <c r="D204" s="315">
        <v>100874</v>
      </c>
      <c r="E204" s="204" t="str">
        <f>VLOOKUP(D204,Fontes!$A$6:$H$11629,2,FALSE)</f>
        <v>Puxador para PNE fixado na porta</v>
      </c>
      <c r="F204" s="203">
        <v>6</v>
      </c>
      <c r="G204" s="203" t="str">
        <f>VLOOKUP(D204,Fontes!$A$6:$L$11629,3,FALSE)</f>
        <v>un</v>
      </c>
      <c r="H204" s="203">
        <v>254.15401922251212</v>
      </c>
      <c r="I204" s="203">
        <v>23.985980777487857</v>
      </c>
      <c r="J204" s="203">
        <v>0</v>
      </c>
      <c r="K204" s="316">
        <f t="shared" si="61"/>
        <v>278.14</v>
      </c>
      <c r="L204" s="317">
        <f t="shared" si="62"/>
        <v>1668.84</v>
      </c>
      <c r="M204" s="318">
        <f t="shared" si="60"/>
        <v>6.0436247626359693E-5</v>
      </c>
    </row>
    <row r="205" spans="2:16" s="313" customFormat="1" ht="36" outlineLevel="1" x14ac:dyDescent="0.2">
      <c r="B205" s="314" t="s">
        <v>2015</v>
      </c>
      <c r="C205" s="315" t="str">
        <f>VLOOKUP(D205,Fontes!$A$6:$H$11629,8,FALSE)</f>
        <v>CDHU</v>
      </c>
      <c r="D205" s="315" t="s">
        <v>2345</v>
      </c>
      <c r="E205" s="204" t="str">
        <f>VLOOKUP(D205,Fontes!$A$6:$H$11629,2,FALSE)</f>
        <v>Revestimento em chapa de aço inoxidável para proteção de portas, altura 40 cm</v>
      </c>
      <c r="F205" s="203">
        <v>2.4</v>
      </c>
      <c r="G205" s="203" t="str">
        <f>VLOOKUP(D205,Fontes!$A$6:$L$11629,3,FALSE)</f>
        <v>m</v>
      </c>
      <c r="H205" s="203">
        <v>594</v>
      </c>
      <c r="I205" s="203">
        <v>0</v>
      </c>
      <c r="J205" s="203">
        <v>0</v>
      </c>
      <c r="K205" s="316">
        <f t="shared" si="61"/>
        <v>594</v>
      </c>
      <c r="L205" s="317">
        <f t="shared" si="62"/>
        <v>1425.6</v>
      </c>
      <c r="M205" s="318">
        <f t="shared" si="60"/>
        <v>5.1627426605389597E-5</v>
      </c>
      <c r="O205" s="320"/>
      <c r="P205" s="320"/>
    </row>
    <row r="206" spans="2:16" s="313" customFormat="1" ht="18" outlineLevel="1" x14ac:dyDescent="0.2">
      <c r="B206" s="314" t="s">
        <v>621</v>
      </c>
      <c r="C206" s="315"/>
      <c r="D206" s="315"/>
      <c r="E206" s="319" t="s">
        <v>1154</v>
      </c>
      <c r="F206" s="203"/>
      <c r="G206" s="203"/>
      <c r="H206" s="203"/>
      <c r="I206" s="203"/>
      <c r="J206" s="203"/>
      <c r="K206" s="316"/>
      <c r="L206" s="317"/>
      <c r="M206" s="318">
        <f t="shared" si="60"/>
        <v>0</v>
      </c>
    </row>
    <row r="207" spans="2:16" s="313" customFormat="1" ht="36" outlineLevel="1" x14ac:dyDescent="0.2">
      <c r="B207" s="314" t="s">
        <v>2016</v>
      </c>
      <c r="C207" s="315" t="str">
        <f>VLOOKUP(D207,Fontes!$A$6:$H$11629,8,FALSE)</f>
        <v>SBC / RJ</v>
      </c>
      <c r="D207" s="315">
        <v>190578</v>
      </c>
      <c r="E207" s="204" t="str">
        <f>VLOOKUP(D207,Fontes!$A$6:$H$11629,2,FALSE)</f>
        <v>Armário de madeira sob bancada revestido em laminado melamínico</v>
      </c>
      <c r="F207" s="203">
        <v>7.92</v>
      </c>
      <c r="G207" s="203" t="str">
        <f>VLOOKUP(D207,Fontes!$A$6:$L$11629,3,FALSE)</f>
        <v>m2</v>
      </c>
      <c r="H207" s="203">
        <v>2500</v>
      </c>
      <c r="I207" s="203">
        <v>0</v>
      </c>
      <c r="J207" s="203">
        <v>0</v>
      </c>
      <c r="K207" s="316">
        <f t="shared" ref="K207:K208" si="63">ROUND(+H207+I207+J207,2)</f>
        <v>2500</v>
      </c>
      <c r="L207" s="317">
        <f t="shared" ref="L207:L208" si="64">ROUND(F207*K207,2)</f>
        <v>19800</v>
      </c>
      <c r="M207" s="318">
        <f t="shared" si="60"/>
        <v>7.1704759174152227E-4</v>
      </c>
    </row>
    <row r="208" spans="2:16" s="313" customFormat="1" ht="36" outlineLevel="1" x14ac:dyDescent="0.2">
      <c r="B208" s="314" t="s">
        <v>913</v>
      </c>
      <c r="C208" s="315" t="str">
        <f>VLOOKUP(D208,Fontes!$A$6:$H$11629,8,FALSE)</f>
        <v>SBC / RJ</v>
      </c>
      <c r="D208" s="315">
        <v>110003</v>
      </c>
      <c r="E208" s="204" t="str">
        <f>VLOOKUP(D208,Fontes!$A$6:$H$11629,2,FALSE)</f>
        <v>Armário de madeira suspenso revestido em laminado melamínico</v>
      </c>
      <c r="F208" s="203">
        <v>7.29</v>
      </c>
      <c r="G208" s="203" t="str">
        <f>VLOOKUP(D208,Fontes!$A$6:$L$11629,3,FALSE)</f>
        <v>m2</v>
      </c>
      <c r="H208" s="203">
        <v>2500</v>
      </c>
      <c r="I208" s="203">
        <v>323.38999999999987</v>
      </c>
      <c r="J208" s="203">
        <v>0</v>
      </c>
      <c r="K208" s="316">
        <f t="shared" si="63"/>
        <v>2823.39</v>
      </c>
      <c r="L208" s="317">
        <f t="shared" si="64"/>
        <v>20582.509999999998</v>
      </c>
      <c r="M208" s="318">
        <f t="shared" si="60"/>
        <v>7.453858195704949E-4</v>
      </c>
    </row>
    <row r="209" spans="2:13" s="109" customFormat="1" ht="18" outlineLevel="1" x14ac:dyDescent="0.2">
      <c r="B209" s="114"/>
      <c r="C209" s="115"/>
      <c r="D209" s="115"/>
      <c r="E209" s="116"/>
      <c r="F209" s="117"/>
      <c r="G209" s="117"/>
      <c r="H209" s="117"/>
      <c r="I209" s="117"/>
      <c r="J209" s="117"/>
      <c r="K209" s="118"/>
      <c r="L209" s="119"/>
      <c r="M209" s="120">
        <f t="shared" si="60"/>
        <v>0</v>
      </c>
    </row>
    <row r="210" spans="2:13" s="109" customFormat="1" ht="25.5" customHeight="1" outlineLevel="1" x14ac:dyDescent="0.2">
      <c r="B210" s="217" t="s">
        <v>622</v>
      </c>
      <c r="C210" s="218"/>
      <c r="D210" s="218"/>
      <c r="E210" s="311" t="s">
        <v>286</v>
      </c>
      <c r="F210" s="219"/>
      <c r="G210" s="220"/>
      <c r="H210" s="221"/>
      <c r="I210" s="221"/>
      <c r="J210" s="219"/>
      <c r="K210" s="219"/>
      <c r="L210" s="222">
        <f>SUBTOTAL(9,L211:L230)</f>
        <v>1377503.2499999998</v>
      </c>
      <c r="M210" s="223">
        <f t="shared" si="60"/>
        <v>4.9885625658011107E-2</v>
      </c>
    </row>
    <row r="211" spans="2:13" s="313" customFormat="1" ht="72" outlineLevel="1" x14ac:dyDescent="0.2">
      <c r="B211" s="314" t="s">
        <v>623</v>
      </c>
      <c r="C211" s="315" t="str">
        <f>VLOOKUP(D211,Fontes!$A$6:$H$11629,8,FALSE)</f>
        <v>Custo Mercado Reajustado</v>
      </c>
      <c r="D211" s="315" t="s">
        <v>205</v>
      </c>
      <c r="E211" s="204" t="str">
        <f>VLOOKUP(D211,Fontes!$A$6:$H$11629,2,FALSE)</f>
        <v>CA-01 - Caixilho fixo com dimensão de 3,00 x 7,80 m e acabamento em pintura eletrostática na cor vermelha e vidros laminados 8 mm contendo 4 requadros de caixilhos basculantes (pivo central) com dimensão de 0,54 x 1,10 m</v>
      </c>
      <c r="F211" s="203">
        <v>2</v>
      </c>
      <c r="G211" s="203" t="str">
        <f>VLOOKUP(D211,Fontes!$A$6:$L$11629,3,FALSE)</f>
        <v>un</v>
      </c>
      <c r="H211" s="203">
        <v>40527.454514666664</v>
      </c>
      <c r="I211" s="203">
        <v>0</v>
      </c>
      <c r="J211" s="203">
        <v>0</v>
      </c>
      <c r="K211" s="316">
        <f t="shared" ref="K211:K229" si="65">ROUND(+H211+I211+J211,2)</f>
        <v>40527.449999999997</v>
      </c>
      <c r="L211" s="317">
        <f t="shared" ref="L211:L229" si="66">ROUND(F211*K211,2)</f>
        <v>81054.899999999994</v>
      </c>
      <c r="M211" s="318">
        <f t="shared" si="60"/>
        <v>2.9353646890833288E-3</v>
      </c>
    </row>
    <row r="212" spans="2:13" s="313" customFormat="1" ht="108" outlineLevel="1" x14ac:dyDescent="0.2">
      <c r="B212" s="314" t="s">
        <v>583</v>
      </c>
      <c r="C212" s="315" t="str">
        <f>VLOOKUP(D212,Fontes!$A$6:$H$11629,8,FALSE)</f>
        <v>Custo Mercado Reajustado</v>
      </c>
      <c r="D212" s="315" t="s">
        <v>1333</v>
      </c>
      <c r="E212" s="204" t="str">
        <f>VLOOKUP(D212,Fontes!$A$6:$H$11629,2,FALSE)</f>
        <v>CA-01A - Caixilho fixo com dimensão de 3,00 x 7,80 m e acabamento em pintura eletrostática na cor vermelha e vidros laminados 8 mm contendo 4 requadros de caixilhos basculantes (pivo central) com dimensão de 0,54 x 1,10 m (Vidro serigrafado na cor branca conforme desenho de arquitetura)</v>
      </c>
      <c r="F212" s="203">
        <v>4</v>
      </c>
      <c r="G212" s="203" t="str">
        <f>VLOOKUP(D212,Fontes!$A$6:$L$11629,3,FALSE)</f>
        <v>un</v>
      </c>
      <c r="H212" s="203">
        <v>51192.650374999997</v>
      </c>
      <c r="I212" s="203">
        <v>0</v>
      </c>
      <c r="J212" s="203">
        <v>0</v>
      </c>
      <c r="K212" s="316">
        <f t="shared" si="65"/>
        <v>51192.65</v>
      </c>
      <c r="L212" s="317">
        <f t="shared" si="66"/>
        <v>204770.6</v>
      </c>
      <c r="M212" s="318">
        <f t="shared" si="60"/>
        <v>7.4156699792659883E-3</v>
      </c>
    </row>
    <row r="213" spans="2:13" s="313" customFormat="1" ht="72" outlineLevel="1" x14ac:dyDescent="0.2">
      <c r="B213" s="314" t="s">
        <v>624</v>
      </c>
      <c r="C213" s="315" t="str">
        <f>VLOOKUP(D213,Fontes!$A$6:$H$11629,8,FALSE)</f>
        <v>Custo Mercado Reajustado</v>
      </c>
      <c r="D213" s="315" t="s">
        <v>1334</v>
      </c>
      <c r="E213" s="204" t="str">
        <f>VLOOKUP(D213,Fontes!$A$6:$H$11629,2,FALSE)</f>
        <v>CA-02 - Caixilho fixo com dimensão de 3,00 x 7,80 m e acabamento em pintura eletrostática na cor vermelha e vidros laminados 8 mm contendo 4 requadros de caixilhos basculantes (pivo central) com dimensão de 0,54 x 1,10 m</v>
      </c>
      <c r="F213" s="203">
        <v>1</v>
      </c>
      <c r="G213" s="203" t="str">
        <f>VLOOKUP(D213,Fontes!$A$6:$L$11629,3,FALSE)</f>
        <v>un</v>
      </c>
      <c r="H213" s="203">
        <v>22962.470831333332</v>
      </c>
      <c r="I213" s="203">
        <v>0</v>
      </c>
      <c r="J213" s="203">
        <v>0</v>
      </c>
      <c r="K213" s="316">
        <f t="shared" si="65"/>
        <v>22962.47</v>
      </c>
      <c r="L213" s="317">
        <f t="shared" si="66"/>
        <v>22962.47</v>
      </c>
      <c r="M213" s="318">
        <f t="shared" si="60"/>
        <v>8.3157494009782594E-4</v>
      </c>
    </row>
    <row r="214" spans="2:13" s="313" customFormat="1" ht="108" outlineLevel="1" x14ac:dyDescent="0.2">
      <c r="B214" s="314" t="s">
        <v>625</v>
      </c>
      <c r="C214" s="315" t="str">
        <f>VLOOKUP(D214,Fontes!$A$6:$H$11629,8,FALSE)</f>
        <v>Custo Mercado Reajustado</v>
      </c>
      <c r="D214" s="315" t="s">
        <v>1335</v>
      </c>
      <c r="E214" s="204" t="str">
        <f>VLOOKUP(D214,Fontes!$A$6:$H$11629,2,FALSE)</f>
        <v xml:space="preserve">CA-02A - Caixilho fixo com dimensão de 3,00 x 7,80 m e acabamento em pintura eletrostática na cor vermelha e vidros laminados 8 mm contendo 4 requadros de caixilhos basculantes (pivo central) com dimensão de 0,54 x 1,10 m  (Vidro serigrafado na cor branca conforme desenho de arquitetura) </v>
      </c>
      <c r="F214" s="203">
        <v>4</v>
      </c>
      <c r="G214" s="203" t="str">
        <f>VLOOKUP(D214,Fontes!$A$6:$L$11629,3,FALSE)</f>
        <v>un</v>
      </c>
      <c r="H214" s="203">
        <v>47285.736960666669</v>
      </c>
      <c r="I214" s="203">
        <v>0</v>
      </c>
      <c r="J214" s="203">
        <v>0</v>
      </c>
      <c r="K214" s="316">
        <f t="shared" si="65"/>
        <v>47285.74</v>
      </c>
      <c r="L214" s="317">
        <f t="shared" si="66"/>
        <v>189142.96</v>
      </c>
      <c r="M214" s="318">
        <f t="shared" si="60"/>
        <v>6.849722422366822E-3</v>
      </c>
    </row>
    <row r="215" spans="2:13" s="313" customFormat="1" ht="72" outlineLevel="1" x14ac:dyDescent="0.2">
      <c r="B215" s="314" t="s">
        <v>626</v>
      </c>
      <c r="C215" s="315" t="str">
        <f>VLOOKUP(D215,Fontes!$A$6:$H$11629,8,FALSE)</f>
        <v>Custo Mercado Reajustado</v>
      </c>
      <c r="D215" s="315" t="s">
        <v>1336</v>
      </c>
      <c r="E215" s="204" t="str">
        <f>VLOOKUP(D215,Fontes!$A$6:$H$11629,2,FALSE)</f>
        <v>CA-03 - Caixilho fixo com dimensão de 3,00 x 3,39 m e acabamento em pintura eletrostática na cor vermelha e vidros laminados 8 mm contendo 1 requadro de caixilho basculante (pivo central) com dimensão de 0,54 x 1,10 m</v>
      </c>
      <c r="F215" s="203">
        <v>1</v>
      </c>
      <c r="G215" s="203" t="str">
        <f>VLOOKUP(D215,Fontes!$A$6:$L$11629,3,FALSE)</f>
        <v>un</v>
      </c>
      <c r="H215" s="203">
        <v>17856.037478000002</v>
      </c>
      <c r="I215" s="203">
        <v>0</v>
      </c>
      <c r="J215" s="203">
        <v>0</v>
      </c>
      <c r="K215" s="316">
        <f t="shared" si="65"/>
        <v>17856.04</v>
      </c>
      <c r="L215" s="317">
        <f t="shared" si="66"/>
        <v>17856.04</v>
      </c>
      <c r="M215" s="318">
        <f t="shared" si="60"/>
        <v>6.4664800404243901E-4</v>
      </c>
    </row>
    <row r="216" spans="2:13" s="313" customFormat="1" ht="90" outlineLevel="1" x14ac:dyDescent="0.2">
      <c r="B216" s="314" t="s">
        <v>627</v>
      </c>
      <c r="C216" s="315" t="str">
        <f>VLOOKUP(D216,Fontes!$A$6:$H$11629,8,FALSE)</f>
        <v>Custo Mercado Reajustado</v>
      </c>
      <c r="D216" s="315" t="s">
        <v>1337</v>
      </c>
      <c r="E216" s="204" t="str">
        <f>VLOOKUP(D216,Fontes!$A$6:$H$11629,2,FALSE)</f>
        <v>CA-04 - Caixilho fixo com veneziana (ventilação 100%) com dimensão de 3,00 x 1,97 m e acabamento em pintura eletrostática na cor vermelha em perfil de aluminio e bandeira lateral e superior fixa em chapa de alumínio integral de 1,5 mm</v>
      </c>
      <c r="F216" s="203">
        <v>2</v>
      </c>
      <c r="G216" s="203" t="str">
        <f>VLOOKUP(D216,Fontes!$A$6:$L$11629,3,FALSE)</f>
        <v>un</v>
      </c>
      <c r="H216" s="203">
        <v>11669.524621666667</v>
      </c>
      <c r="I216" s="203">
        <v>0</v>
      </c>
      <c r="J216" s="203">
        <v>0</v>
      </c>
      <c r="K216" s="316">
        <f t="shared" si="65"/>
        <v>11669.52</v>
      </c>
      <c r="L216" s="317">
        <f t="shared" si="66"/>
        <v>23339.040000000001</v>
      </c>
      <c r="M216" s="318">
        <f t="shared" si="60"/>
        <v>8.45212243715104E-4</v>
      </c>
    </row>
    <row r="217" spans="2:13" s="313" customFormat="1" ht="72" outlineLevel="1" x14ac:dyDescent="0.2">
      <c r="B217" s="314" t="s">
        <v>628</v>
      </c>
      <c r="C217" s="315" t="str">
        <f>VLOOKUP(D217,Fontes!$A$6:$H$11629,8,FALSE)</f>
        <v>Custo Mercado Reajustado</v>
      </c>
      <c r="D217" s="315" t="s">
        <v>1338</v>
      </c>
      <c r="E217" s="204" t="str">
        <f>VLOOKUP(D217,Fontes!$A$6:$H$11629,2,FALSE)</f>
        <v>CA-05 - Caixilho fixo com dimensão de 3,00 x 7,80 m e acabamento em pintura eletrostática na cor vermelha e vidros laminados 8 mm contendo 4 requadros de caixilhos basculantes (pivo central) com dimensão de 0,54 x 1,10 m</v>
      </c>
      <c r="F217" s="203">
        <v>2</v>
      </c>
      <c r="G217" s="203" t="str">
        <f>VLOOKUP(D217,Fontes!$A$6:$L$11629,3,FALSE)</f>
        <v>un</v>
      </c>
      <c r="H217" s="203">
        <v>40527.454514666664</v>
      </c>
      <c r="I217" s="203">
        <v>0</v>
      </c>
      <c r="J217" s="203">
        <v>0</v>
      </c>
      <c r="K217" s="316">
        <f t="shared" si="65"/>
        <v>40527.449999999997</v>
      </c>
      <c r="L217" s="317">
        <f t="shared" si="66"/>
        <v>81054.899999999994</v>
      </c>
      <c r="M217" s="318">
        <f t="shared" si="60"/>
        <v>2.9353646890833288E-3</v>
      </c>
    </row>
    <row r="218" spans="2:13" s="313" customFormat="1" ht="108" outlineLevel="1" x14ac:dyDescent="0.2">
      <c r="B218" s="314" t="s">
        <v>629</v>
      </c>
      <c r="C218" s="315" t="str">
        <f>VLOOKUP(D218,Fontes!$A$6:$H$11629,8,FALSE)</f>
        <v>Custo Mercado Reajustado</v>
      </c>
      <c r="D218" s="315" t="s">
        <v>1339</v>
      </c>
      <c r="E218" s="204" t="str">
        <f>VLOOKUP(D218,Fontes!$A$6:$H$11629,2,FALSE)</f>
        <v>CA-05A - Caixilho fixo com dimensão de 3,00 x 7,80 m e acabamento em pintura eletrostática na cor vermelha e vidros laminados 8 mm contendo 4 requadros de caixilhos basculantes (pivo central) com dimensão de 0,54 x 1,10 m (Vidro serigrafado na cor branca conforme desenho de arquitetura)</v>
      </c>
      <c r="F218" s="203">
        <v>2</v>
      </c>
      <c r="G218" s="203" t="str">
        <f>VLOOKUP(D218,Fontes!$A$6:$L$11629,3,FALSE)</f>
        <v>un</v>
      </c>
      <c r="H218" s="203">
        <v>47285.736960666669</v>
      </c>
      <c r="I218" s="203">
        <v>0</v>
      </c>
      <c r="J218" s="203">
        <v>0</v>
      </c>
      <c r="K218" s="316">
        <f t="shared" si="65"/>
        <v>47285.74</v>
      </c>
      <c r="L218" s="317">
        <f t="shared" si="66"/>
        <v>94571.48</v>
      </c>
      <c r="M218" s="318">
        <f t="shared" si="60"/>
        <v>3.424861211183411E-3</v>
      </c>
    </row>
    <row r="219" spans="2:13" s="313" customFormat="1" ht="72" outlineLevel="1" x14ac:dyDescent="0.2">
      <c r="B219" s="314" t="s">
        <v>630</v>
      </c>
      <c r="C219" s="315" t="str">
        <f>VLOOKUP(D219,Fontes!$A$6:$H$11629,8,FALSE)</f>
        <v>Custo Mercado Reajustado</v>
      </c>
      <c r="D219" s="315" t="s">
        <v>1340</v>
      </c>
      <c r="E219" s="204" t="str">
        <f>VLOOKUP(D219,Fontes!$A$6:$H$11629,2,FALSE)</f>
        <v>CA-06 - Caixilho fixo com dimensão de 3,00 x 7,80 m e acabamento em pintura eletrostática na cor vermelha e vidros laminados 8 mm contendo 4 requadros de caixilhos basculantes (pivo central) com dimensão de 0,54 x 1,10 m</v>
      </c>
      <c r="F219" s="203">
        <v>2</v>
      </c>
      <c r="G219" s="203" t="str">
        <f>VLOOKUP(D219,Fontes!$A$6:$L$11629,3,FALSE)</f>
        <v>un</v>
      </c>
      <c r="H219" s="203">
        <v>40527.454514666664</v>
      </c>
      <c r="I219" s="203">
        <v>0</v>
      </c>
      <c r="J219" s="203">
        <v>0</v>
      </c>
      <c r="K219" s="316">
        <f t="shared" si="65"/>
        <v>40527.449999999997</v>
      </c>
      <c r="L219" s="317">
        <f t="shared" si="66"/>
        <v>81054.899999999994</v>
      </c>
      <c r="M219" s="318">
        <f t="shared" si="60"/>
        <v>2.9353646890833288E-3</v>
      </c>
    </row>
    <row r="220" spans="2:13" s="313" customFormat="1" ht="108" outlineLevel="1" x14ac:dyDescent="0.2">
      <c r="B220" s="314" t="s">
        <v>631</v>
      </c>
      <c r="C220" s="315" t="str">
        <f>VLOOKUP(D220,Fontes!$A$6:$H$11629,8,FALSE)</f>
        <v>Custo Mercado Reajustado</v>
      </c>
      <c r="D220" s="315" t="s">
        <v>1341</v>
      </c>
      <c r="E220" s="204" t="str">
        <f>VLOOKUP(D220,Fontes!$A$6:$H$11629,2,FALSE)</f>
        <v>CA-06A - Caixilho fixo com dimensão de 3,00 x 7,80 m e acabamento em pintura eletrostática na cor vermelha e vidros laminados 8 mm contendo 4 requadros de caixilhos basculantes (pivo central) com dimensão de 0,54 x 1,10 m (Vidro serigrafado na cor branca conforme desenho de arquitetura)</v>
      </c>
      <c r="F220" s="203">
        <v>2</v>
      </c>
      <c r="G220" s="203" t="str">
        <f>VLOOKUP(D220,Fontes!$A$6:$L$11629,3,FALSE)</f>
        <v>un</v>
      </c>
      <c r="H220" s="203">
        <v>47285.736960666669</v>
      </c>
      <c r="I220" s="203">
        <v>0</v>
      </c>
      <c r="J220" s="203">
        <v>0</v>
      </c>
      <c r="K220" s="316">
        <f t="shared" si="65"/>
        <v>47285.74</v>
      </c>
      <c r="L220" s="317">
        <f t="shared" si="66"/>
        <v>94571.48</v>
      </c>
      <c r="M220" s="318">
        <f t="shared" si="60"/>
        <v>3.424861211183411E-3</v>
      </c>
    </row>
    <row r="221" spans="2:13" s="313" customFormat="1" ht="108" outlineLevel="1" x14ac:dyDescent="0.2">
      <c r="B221" s="314" t="s">
        <v>632</v>
      </c>
      <c r="C221" s="315" t="str">
        <f>VLOOKUP(D221,Fontes!$A$6:$H$11629,8,FALSE)</f>
        <v>Custo Mercado Reajustado</v>
      </c>
      <c r="D221" s="315" t="s">
        <v>1342</v>
      </c>
      <c r="E221" s="204" t="str">
        <f>VLOOKUP(D221,Fontes!$A$6:$H$11629,2,FALSE)</f>
        <v>CA-07 - Caixilho de correr (com 3 folhas), dimensão de 3,43 x 7,58 m e acabamento em pintura eletrostática na cor vermelha e vidros laminados 8 mm com bandeira fixa superior em chapa de alumínio integral de 1,5mm, contendo dois puxadores (Ref.: Udinese - Linha Linea) na mesma cor do caixilho</v>
      </c>
      <c r="F221" s="203">
        <v>1</v>
      </c>
      <c r="G221" s="203" t="str">
        <f>VLOOKUP(D221,Fontes!$A$6:$L$11629,3,FALSE)</f>
        <v>un</v>
      </c>
      <c r="H221" s="203">
        <v>63940.535203566673</v>
      </c>
      <c r="I221" s="203">
        <v>0</v>
      </c>
      <c r="J221" s="203">
        <v>0</v>
      </c>
      <c r="K221" s="316">
        <f t="shared" si="65"/>
        <v>63940.54</v>
      </c>
      <c r="L221" s="317">
        <f t="shared" si="66"/>
        <v>63940.54</v>
      </c>
      <c r="M221" s="318">
        <f t="shared" si="60"/>
        <v>2.3155762738208321E-3</v>
      </c>
    </row>
    <row r="222" spans="2:13" s="313" customFormat="1" ht="126" outlineLevel="1" x14ac:dyDescent="0.2">
      <c r="B222" s="314" t="s">
        <v>633</v>
      </c>
      <c r="C222" s="315" t="str">
        <f>VLOOKUP(D222,Fontes!$A$6:$H$11629,8,FALSE)</f>
        <v>Custo Mercado Reajustado</v>
      </c>
      <c r="D222" s="315" t="s">
        <v>1343</v>
      </c>
      <c r="E222" s="204" t="str">
        <f>VLOOKUP(D222,Fontes!$A$6:$H$11629,2,FALSE)</f>
        <v>CA-07A - Caixilho de correr (com 2 folhas), dimensão de 3,43 x 7,41 m e acabamento em pintura eletrostática na cor vermelha e vidros laminados 8 mm com bandeira fixa superior em chapa de alumínio integral de 1,5 mm, contendo dois puxadores (Ref.: Udinese - Linha Linea) na mesma cor do caixilho. Prever estruturação de fechamento em alumínio para acabamento da alvenaria conforme desenho de arquitetura</v>
      </c>
      <c r="F222" s="203">
        <v>1</v>
      </c>
      <c r="G222" s="203" t="str">
        <f>VLOOKUP(D222,Fontes!$A$6:$L$11629,3,FALSE)</f>
        <v>un</v>
      </c>
      <c r="H222" s="203">
        <v>48811.159454433335</v>
      </c>
      <c r="I222" s="203">
        <v>0</v>
      </c>
      <c r="J222" s="203">
        <v>0</v>
      </c>
      <c r="K222" s="316">
        <f t="shared" si="65"/>
        <v>48811.16</v>
      </c>
      <c r="L222" s="317">
        <f t="shared" si="66"/>
        <v>48811.16</v>
      </c>
      <c r="M222" s="318">
        <f t="shared" si="60"/>
        <v>1.7676729660661679E-3</v>
      </c>
    </row>
    <row r="223" spans="2:13" s="313" customFormat="1" ht="72" outlineLevel="1" x14ac:dyDescent="0.2">
      <c r="B223" s="314" t="s">
        <v>634</v>
      </c>
      <c r="C223" s="315" t="str">
        <f>VLOOKUP(D223,Fontes!$A$6:$H$11629,8,FALSE)</f>
        <v>Custo Mercado Reajustado</v>
      </c>
      <c r="D223" s="315" t="s">
        <v>1344</v>
      </c>
      <c r="E223" s="204" t="str">
        <f>VLOOKUP(D223,Fontes!$A$6:$H$11629,2,FALSE)</f>
        <v>CA-10 - Caixilho fixo com dimensão de 1,93 x 3,12 m e acabamento em pintura eletrostática na cor vermelha e vidros laminados 6 mm contendo 1 requadro de caixilho basculante (pivo central) com dimensão de 0,54 x 1,10 m</v>
      </c>
      <c r="F223" s="203">
        <v>2</v>
      </c>
      <c r="G223" s="203" t="str">
        <f>VLOOKUP(D223,Fontes!$A$6:$L$11629,3,FALSE)</f>
        <v>un</v>
      </c>
      <c r="H223" s="203">
        <v>5678.2072166666667</v>
      </c>
      <c r="I223" s="203">
        <v>0</v>
      </c>
      <c r="J223" s="203">
        <v>0</v>
      </c>
      <c r="K223" s="316">
        <f t="shared" si="65"/>
        <v>5678.21</v>
      </c>
      <c r="L223" s="317">
        <f t="shared" si="66"/>
        <v>11356.42</v>
      </c>
      <c r="M223" s="318">
        <f t="shared" si="60"/>
        <v>4.1126735413157871E-4</v>
      </c>
    </row>
    <row r="224" spans="2:13" s="313" customFormat="1" ht="72" outlineLevel="1" x14ac:dyDescent="0.2">
      <c r="B224" s="314" t="s">
        <v>635</v>
      </c>
      <c r="C224" s="315" t="str">
        <f>VLOOKUP(D224,Fontes!$A$6:$H$11629,8,FALSE)</f>
        <v>Custo Mercado Reajustado</v>
      </c>
      <c r="D224" s="315" t="s">
        <v>1345</v>
      </c>
      <c r="E224" s="204" t="str">
        <f>VLOOKUP(D224,Fontes!$A$6:$H$11629,2,FALSE)</f>
        <v>CA-11 - Caixilho fixo com dimensão de 1,93 x 3,12 m e acabamento em pintura eletrostática na cor vermelha e vidros laminados 6 mm contendo 1 requadro de caixilho basculante (pivo central) com dimensão de 0,54 x 1,10 m</v>
      </c>
      <c r="F224" s="203">
        <v>2</v>
      </c>
      <c r="G224" s="203" t="str">
        <f>VLOOKUP(D224,Fontes!$A$6:$L$11629,3,FALSE)</f>
        <v>un</v>
      </c>
      <c r="H224" s="203">
        <v>5678.2072166666667</v>
      </c>
      <c r="I224" s="203">
        <v>0</v>
      </c>
      <c r="J224" s="203">
        <v>0</v>
      </c>
      <c r="K224" s="316">
        <f t="shared" si="65"/>
        <v>5678.21</v>
      </c>
      <c r="L224" s="317">
        <f t="shared" si="66"/>
        <v>11356.42</v>
      </c>
      <c r="M224" s="318">
        <f t="shared" si="60"/>
        <v>4.1126735413157871E-4</v>
      </c>
    </row>
    <row r="225" spans="2:13" s="313" customFormat="1" ht="90" outlineLevel="1" x14ac:dyDescent="0.2">
      <c r="B225" s="314" t="s">
        <v>636</v>
      </c>
      <c r="C225" s="315" t="str">
        <f>VLOOKUP(D225,Fontes!$A$6:$H$11629,8,FALSE)</f>
        <v>Custo Mercado Reajustado</v>
      </c>
      <c r="D225" s="315" t="s">
        <v>1346</v>
      </c>
      <c r="E225" s="204" t="str">
        <f>VLOOKUP(D225,Fontes!$A$6:$H$11629,2,FALSE)</f>
        <v>CA-12 - Caixilho fixo com veneziana (ventilação 100%) com dimensão de 2,06 x 0,60 m e acabamento em pintura eletrostática na cor vermelha em perfil de aluminio, com perfil cantoneira de alumínio para arremate na fixação em painel de concreto</v>
      </c>
      <c r="F225" s="203">
        <v>2</v>
      </c>
      <c r="G225" s="203" t="str">
        <f>VLOOKUP(D225,Fontes!$A$6:$L$11629,3,FALSE)</f>
        <v>un</v>
      </c>
      <c r="H225" s="203">
        <v>2181.6299073333334</v>
      </c>
      <c r="I225" s="203">
        <v>0</v>
      </c>
      <c r="J225" s="203">
        <v>0</v>
      </c>
      <c r="K225" s="316">
        <f t="shared" si="65"/>
        <v>2181.63</v>
      </c>
      <c r="L225" s="317">
        <f t="shared" si="66"/>
        <v>4363.26</v>
      </c>
      <c r="M225" s="318">
        <f t="shared" si="60"/>
        <v>1.5801338763344014E-4</v>
      </c>
    </row>
    <row r="226" spans="2:13" s="313" customFormat="1" ht="72" outlineLevel="1" x14ac:dyDescent="0.2">
      <c r="B226" s="314" t="s">
        <v>637</v>
      </c>
      <c r="C226" s="315" t="str">
        <f>VLOOKUP(D226,Fontes!$A$6:$H$11629,8,FALSE)</f>
        <v>Custo Mercado Reajustado</v>
      </c>
      <c r="D226" s="315" t="s">
        <v>1347</v>
      </c>
      <c r="E226" s="204" t="str">
        <f>VLOOKUP(D226,Fontes!$A$6:$H$11629,2,FALSE)</f>
        <v>CA-13 - Caixilho de correr (com 4 folhas), dimensão de 3,00 x 7,85 m e acabamento em pintura eletrostática na cor vermelha e vidros laminados 8 mm contendo dois puxadores (Ref.: Udinese - Linha Linea) na mesma cor do caixilho</v>
      </c>
      <c r="F226" s="203">
        <v>2</v>
      </c>
      <c r="G226" s="203" t="str">
        <f>VLOOKUP(D226,Fontes!$A$6:$L$11629,3,FALSE)</f>
        <v>un</v>
      </c>
      <c r="H226" s="203">
        <v>42517.953227666665</v>
      </c>
      <c r="I226" s="203">
        <v>0</v>
      </c>
      <c r="J226" s="203">
        <v>0</v>
      </c>
      <c r="K226" s="316">
        <f t="shared" si="65"/>
        <v>42517.95</v>
      </c>
      <c r="L226" s="317">
        <f t="shared" si="66"/>
        <v>85035.9</v>
      </c>
      <c r="M226" s="318">
        <f t="shared" si="60"/>
        <v>3.0795347124531773E-3</v>
      </c>
    </row>
    <row r="227" spans="2:13" s="313" customFormat="1" ht="72" outlineLevel="1" x14ac:dyDescent="0.2">
      <c r="B227" s="314" t="s">
        <v>638</v>
      </c>
      <c r="C227" s="315" t="str">
        <f>VLOOKUP(D227,Fontes!$A$6:$H$11629,8,FALSE)</f>
        <v>Custo Mercado Reajustado</v>
      </c>
      <c r="D227" s="315" t="s">
        <v>1348</v>
      </c>
      <c r="E227" s="204" t="str">
        <f>VLOOKUP(D227,Fontes!$A$6:$H$11629,2,FALSE)</f>
        <v>CA-14 - Caixilho de correr (com 4 folhas), dimensão de 3,00 x 7,85 m e acabamento em pintura eletrostática na cor vermelha e vidros laminados 8 mm contendo dois puxadores (Ref.: Udinese - Linha Linea) na mesma cor do caixilho</v>
      </c>
      <c r="F227" s="203">
        <v>2</v>
      </c>
      <c r="G227" s="203" t="str">
        <f>VLOOKUP(D227,Fontes!$A$6:$L$11629,3,FALSE)</f>
        <v>un</v>
      </c>
      <c r="H227" s="203">
        <v>42517.953227666665</v>
      </c>
      <c r="I227" s="203">
        <v>0</v>
      </c>
      <c r="J227" s="203">
        <v>0</v>
      </c>
      <c r="K227" s="316">
        <f t="shared" si="65"/>
        <v>42517.95</v>
      </c>
      <c r="L227" s="317">
        <f t="shared" si="66"/>
        <v>85035.9</v>
      </c>
      <c r="M227" s="318">
        <f t="shared" si="60"/>
        <v>3.0795347124531773E-3</v>
      </c>
    </row>
    <row r="228" spans="2:13" s="313" customFormat="1" ht="90" outlineLevel="1" x14ac:dyDescent="0.2">
      <c r="B228" s="314" t="s">
        <v>639</v>
      </c>
      <c r="C228" s="315" t="str">
        <f>VLOOKUP(D228,Fontes!$A$6:$H$11629,8,FALSE)</f>
        <v>Custo Mercado Reajustado</v>
      </c>
      <c r="D228" s="315" t="s">
        <v>1349</v>
      </c>
      <c r="E228" s="204" t="str">
        <f>VLOOKUP(D228,Fontes!$A$6:$H$11629,2,FALSE)</f>
        <v>CA-15 - Caixilho (com 2 folhas de abrir), dimensão total de 3,00 x 2,80 m e acabamento em pintura eletrostática na cor vermelha e vidros laminados 8 mm com bandeira fixa superior e lateral, contendo dois puxadores (Ref.: Udinese - Linha Linea) na mesma cor do caixilho</v>
      </c>
      <c r="F228" s="203">
        <v>6</v>
      </c>
      <c r="G228" s="203" t="str">
        <f>VLOOKUP(D228,Fontes!$A$6:$L$11629,3,FALSE)</f>
        <v>un</v>
      </c>
      <c r="H228" s="203">
        <v>28629.946871</v>
      </c>
      <c r="I228" s="203">
        <v>0</v>
      </c>
      <c r="J228" s="203">
        <v>0</v>
      </c>
      <c r="K228" s="316">
        <f t="shared" si="65"/>
        <v>28629.95</v>
      </c>
      <c r="L228" s="317">
        <f t="shared" si="66"/>
        <v>171779.7</v>
      </c>
      <c r="M228" s="318">
        <f t="shared" si="60"/>
        <v>6.2209202118727871E-3</v>
      </c>
    </row>
    <row r="229" spans="2:13" s="313" customFormat="1" ht="54" outlineLevel="1" x14ac:dyDescent="0.2">
      <c r="B229" s="314" t="s">
        <v>640</v>
      </c>
      <c r="C229" s="315" t="str">
        <f>VLOOKUP(D229,Fontes!$A$6:$H$11629,8,FALSE)</f>
        <v>Custo Mercado Reajustado</v>
      </c>
      <c r="D229" s="315" t="s">
        <v>1350</v>
      </c>
      <c r="E229" s="204" t="str">
        <f>VLOOKUP(D229,Fontes!$A$6:$H$11629,2,FALSE)</f>
        <v>CA-16 - Caixilho fixo veneziana com dimensão de 1,80 x 1,80 m e acabamento em pintura eletrostática na cor vermelha instalado a 30 cm acima do nível do piso</v>
      </c>
      <c r="F229" s="203">
        <v>1</v>
      </c>
      <c r="G229" s="203" t="str">
        <f>VLOOKUP(D229,Fontes!$A$6:$L$11629,3,FALSE)</f>
        <v>un</v>
      </c>
      <c r="H229" s="203">
        <v>5445.1769943333338</v>
      </c>
      <c r="I229" s="203">
        <v>0</v>
      </c>
      <c r="J229" s="203">
        <v>0</v>
      </c>
      <c r="K229" s="316">
        <f t="shared" si="65"/>
        <v>5445.18</v>
      </c>
      <c r="L229" s="317">
        <f t="shared" si="66"/>
        <v>5445.18</v>
      </c>
      <c r="M229" s="318">
        <f t="shared" si="60"/>
        <v>1.97194606343389E-4</v>
      </c>
    </row>
    <row r="230" spans="2:13" s="313" customFormat="1" ht="18" outlineLevel="1" x14ac:dyDescent="0.2">
      <c r="B230" s="314" t="s">
        <v>2017</v>
      </c>
      <c r="C230" s="315"/>
      <c r="D230" s="315"/>
      <c r="E230" s="204" t="s">
        <v>1897</v>
      </c>
      <c r="F230" s="203"/>
      <c r="G230" s="203"/>
      <c r="H230" s="203"/>
      <c r="I230" s="203"/>
      <c r="J230" s="203"/>
      <c r="K230" s="316"/>
      <c r="L230" s="317"/>
      <c r="M230" s="318">
        <f t="shared" si="60"/>
        <v>0</v>
      </c>
    </row>
    <row r="231" spans="2:13" s="109" customFormat="1" ht="18" outlineLevel="1" x14ac:dyDescent="0.2">
      <c r="B231" s="114"/>
      <c r="C231" s="115"/>
      <c r="D231" s="115"/>
      <c r="E231" s="116"/>
      <c r="F231" s="117"/>
      <c r="G231" s="117"/>
      <c r="H231" s="117"/>
      <c r="I231" s="117"/>
      <c r="J231" s="117"/>
      <c r="K231" s="118"/>
      <c r="L231" s="119"/>
      <c r="M231" s="120">
        <f t="shared" si="60"/>
        <v>0</v>
      </c>
    </row>
    <row r="232" spans="2:13" s="109" customFormat="1" ht="25.5" customHeight="1" outlineLevel="1" x14ac:dyDescent="0.2">
      <c r="B232" s="217" t="s">
        <v>641</v>
      </c>
      <c r="C232" s="218"/>
      <c r="D232" s="218"/>
      <c r="E232" s="311" t="s">
        <v>306</v>
      </c>
      <c r="F232" s="219"/>
      <c r="G232" s="220"/>
      <c r="H232" s="221"/>
      <c r="I232" s="221"/>
      <c r="J232" s="219"/>
      <c r="K232" s="219"/>
      <c r="L232" s="222">
        <f>SUBTOTAL(9,L233:L234)</f>
        <v>758664.03</v>
      </c>
      <c r="M232" s="223">
        <f t="shared" si="60"/>
        <v>2.7474657356182729E-2</v>
      </c>
    </row>
    <row r="233" spans="2:13" s="313" customFormat="1" ht="54" outlineLevel="1" x14ac:dyDescent="0.2">
      <c r="B233" s="314" t="s">
        <v>642</v>
      </c>
      <c r="C233" s="315" t="str">
        <f>VLOOKUP(D233,Fontes!$A$6:$H$11629,8,FALSE)</f>
        <v>Custo Mercado Reajustado</v>
      </c>
      <c r="D233" s="315" t="s">
        <v>1351</v>
      </c>
      <c r="E233" s="204" t="str">
        <f>VLOOKUP(D233,Fontes!$A$6:$H$11629,2,FALSE)</f>
        <v>CA-08 - Caixilho tipo pele de vidro com seis portas duplas 2,00 x 2,20 m, em vidros laminados 10 mm, dimensões do conjunto 19,50 x 11,95 m</v>
      </c>
      <c r="F233" s="203">
        <v>1</v>
      </c>
      <c r="G233" s="203" t="str">
        <f>VLOOKUP(D233,Fontes!$A$6:$L$11629,3,FALSE)</f>
        <v>cj</v>
      </c>
      <c r="H233" s="203">
        <v>135774.39000000001</v>
      </c>
      <c r="I233" s="203">
        <v>0</v>
      </c>
      <c r="J233" s="203">
        <v>0</v>
      </c>
      <c r="K233" s="316">
        <f t="shared" ref="K233:K234" si="67">ROUND(+H233+I233+J233,2)</f>
        <v>135774.39000000001</v>
      </c>
      <c r="L233" s="317">
        <f t="shared" ref="L233:L234" si="68">ROUND(F233*K233,2)</f>
        <v>135774.39000000001</v>
      </c>
      <c r="M233" s="318">
        <f t="shared" si="60"/>
        <v>4.9170050186704162E-3</v>
      </c>
    </row>
    <row r="234" spans="2:13" s="313" customFormat="1" ht="54" outlineLevel="1" x14ac:dyDescent="0.2">
      <c r="B234" s="314" t="s">
        <v>643</v>
      </c>
      <c r="C234" s="315" t="str">
        <f>VLOOKUP(D234,Fontes!$A$6:$H$11629,8,FALSE)</f>
        <v>Custo Mercado Reajustado</v>
      </c>
      <c r="D234" s="315" t="s">
        <v>1352</v>
      </c>
      <c r="E234" s="204" t="str">
        <f>VLOOKUP(D234,Fontes!$A$6:$H$11629,2,FALSE)</f>
        <v>CA-09 - Caixilho tipo pele de vidro com porta dupla pivotante, em vidros laminados 10 mm, dimensões 5,73 x 7,55 m</v>
      </c>
      <c r="F234" s="203">
        <v>1</v>
      </c>
      <c r="G234" s="203" t="str">
        <f>VLOOKUP(D234,Fontes!$A$6:$L$11629,3,FALSE)</f>
        <v>cj</v>
      </c>
      <c r="H234" s="203">
        <v>622889.64326599997</v>
      </c>
      <c r="I234" s="203">
        <v>0</v>
      </c>
      <c r="J234" s="203">
        <v>0</v>
      </c>
      <c r="K234" s="316">
        <f t="shared" si="67"/>
        <v>622889.64</v>
      </c>
      <c r="L234" s="317">
        <f t="shared" si="68"/>
        <v>622889.64</v>
      </c>
      <c r="M234" s="318">
        <f t="shared" si="60"/>
        <v>2.2557652337512314E-2</v>
      </c>
    </row>
    <row r="235" spans="2:13" s="109" customFormat="1" ht="18" outlineLevel="1" x14ac:dyDescent="0.2">
      <c r="B235" s="114"/>
      <c r="C235" s="115"/>
      <c r="D235" s="115"/>
      <c r="E235" s="116"/>
      <c r="F235" s="117"/>
      <c r="G235" s="117"/>
      <c r="H235" s="117"/>
      <c r="I235" s="117"/>
      <c r="J235" s="117"/>
      <c r="K235" s="118"/>
      <c r="L235" s="119"/>
      <c r="M235" s="120">
        <f t="shared" si="60"/>
        <v>0</v>
      </c>
    </row>
    <row r="236" spans="2:13" s="109" customFormat="1" ht="25.5" customHeight="1" outlineLevel="1" x14ac:dyDescent="0.2">
      <c r="B236" s="217" t="s">
        <v>644</v>
      </c>
      <c r="C236" s="218"/>
      <c r="D236" s="218"/>
      <c r="E236" s="311" t="s">
        <v>309</v>
      </c>
      <c r="F236" s="219"/>
      <c r="G236" s="220"/>
      <c r="H236" s="221"/>
      <c r="I236" s="221"/>
      <c r="J236" s="219"/>
      <c r="K236" s="219"/>
      <c r="L236" s="222">
        <f>SUBTOTAL(9,L237:L247)</f>
        <v>108845.98</v>
      </c>
      <c r="M236" s="223">
        <f t="shared" si="60"/>
        <v>3.9418054459467626E-3</v>
      </c>
    </row>
    <row r="237" spans="2:13" s="313" customFormat="1" ht="54" outlineLevel="1" x14ac:dyDescent="0.2">
      <c r="B237" s="314" t="s">
        <v>645</v>
      </c>
      <c r="C237" s="315" t="str">
        <f>VLOOKUP(D237,Fontes!$A$6:$H$11629,8,FALSE)</f>
        <v>Custo Mercado Reajustado</v>
      </c>
      <c r="D237" s="315" t="s">
        <v>1356</v>
      </c>
      <c r="E237" s="204" t="str">
        <f>VLOOKUP(D237,Fontes!$A$6:$H$11629,2,FALSE)</f>
        <v>Porta simples lisa em chapa de aço com pintura eletrostática na cor cinza claro, completa, dimensões 0,90 x 2,10 m</v>
      </c>
      <c r="F237" s="203">
        <v>1</v>
      </c>
      <c r="G237" s="203">
        <f>VLOOKUP(D237,Fontes!$A$6:$L$11629,3,FALSE)</f>
        <v>0</v>
      </c>
      <c r="H237" s="203">
        <v>1474.415</v>
      </c>
      <c r="I237" s="203">
        <v>0</v>
      </c>
      <c r="J237" s="203">
        <v>0</v>
      </c>
      <c r="K237" s="316">
        <f t="shared" ref="K237:K241" si="69">ROUND(+H237+I237+J237,2)</f>
        <v>1474.42</v>
      </c>
      <c r="L237" s="317">
        <f t="shared" ref="L237:L241" si="70">ROUND(F237*K237,2)</f>
        <v>1474.42</v>
      </c>
      <c r="M237" s="318">
        <f t="shared" si="60"/>
        <v>5.3395419707855316E-5</v>
      </c>
    </row>
    <row r="238" spans="2:13" s="313" customFormat="1" ht="54" outlineLevel="1" x14ac:dyDescent="0.2">
      <c r="B238" s="314" t="s">
        <v>646</v>
      </c>
      <c r="C238" s="315" t="str">
        <f>VLOOKUP(D238,Fontes!$A$6:$H$11629,8,FALSE)</f>
        <v>Custo Mercado Reajustado</v>
      </c>
      <c r="D238" s="315" t="s">
        <v>1357</v>
      </c>
      <c r="E238" s="204" t="str">
        <f>VLOOKUP(D238,Fontes!$A$6:$H$11629,2,FALSE)</f>
        <v>Porta dupla lisa em chapa de aço com pintura eletrostática na cor cinza claro, completa, dimensões 1,80 x 2,10 m</v>
      </c>
      <c r="F238" s="203">
        <v>2</v>
      </c>
      <c r="G238" s="203">
        <f>VLOOKUP(D238,Fontes!$A$6:$L$11629,3,FALSE)</f>
        <v>0</v>
      </c>
      <c r="H238" s="203">
        <v>2692.41</v>
      </c>
      <c r="I238" s="203">
        <v>0</v>
      </c>
      <c r="J238" s="203">
        <v>0</v>
      </c>
      <c r="K238" s="316">
        <f t="shared" si="69"/>
        <v>2692.41</v>
      </c>
      <c r="L238" s="317">
        <f t="shared" si="70"/>
        <v>5384.82</v>
      </c>
      <c r="M238" s="318">
        <f t="shared" si="60"/>
        <v>1.9500869762432242E-4</v>
      </c>
    </row>
    <row r="239" spans="2:13" s="313" customFormat="1" ht="36" outlineLevel="1" x14ac:dyDescent="0.2">
      <c r="B239" s="314" t="s">
        <v>647</v>
      </c>
      <c r="C239" s="315" t="str">
        <f>VLOOKUP(D239,Fontes!$A$6:$H$11629,8,FALSE)</f>
        <v>SINAPI / RJ</v>
      </c>
      <c r="D239" s="315">
        <v>90838</v>
      </c>
      <c r="E239" s="204" t="str">
        <f>VLOOKUP(D239,Fontes!$A$6:$H$11629,2,FALSE)</f>
        <v>Porta corta-fogo em chapa galvanizada, dimensões 0,90 x 210 m</v>
      </c>
      <c r="F239" s="203">
        <v>5</v>
      </c>
      <c r="G239" s="203" t="str">
        <f>VLOOKUP(D239,Fontes!$A$6:$L$11629,3,FALSE)</f>
        <v>un</v>
      </c>
      <c r="H239" s="203">
        <v>1607.831779535182</v>
      </c>
      <c r="I239" s="203">
        <v>127.50822046481812</v>
      </c>
      <c r="J239" s="203">
        <v>0</v>
      </c>
      <c r="K239" s="316">
        <f t="shared" si="69"/>
        <v>1735.34</v>
      </c>
      <c r="L239" s="317">
        <f t="shared" si="70"/>
        <v>8676.7000000000007</v>
      </c>
      <c r="M239" s="318">
        <f t="shared" si="60"/>
        <v>3.1422256763957913E-4</v>
      </c>
    </row>
    <row r="240" spans="2:13" s="313" customFormat="1" ht="36" outlineLevel="1" x14ac:dyDescent="0.2">
      <c r="B240" s="314" t="s">
        <v>648</v>
      </c>
      <c r="C240" s="315" t="str">
        <f>VLOOKUP(D240,Fontes!$A$6:$H$11629,8,FALSE)</f>
        <v>SBC / RJ</v>
      </c>
      <c r="D240" s="315">
        <v>111515</v>
      </c>
      <c r="E240" s="204" t="str">
        <f>VLOOKUP(D240,Fontes!$A$6:$H$11629,2,FALSE)</f>
        <v>Porta corta fogo em chapa galvanizada, dimensões 1,80 x 2,10 m</v>
      </c>
      <c r="F240" s="203">
        <v>1</v>
      </c>
      <c r="G240" s="203" t="str">
        <f>VLOOKUP(D240,Fontes!$A$6:$L$11629,3,FALSE)</f>
        <v>un</v>
      </c>
      <c r="H240" s="203">
        <v>2654.98</v>
      </c>
      <c r="I240" s="203">
        <v>337.84000000000003</v>
      </c>
      <c r="J240" s="203">
        <v>0</v>
      </c>
      <c r="K240" s="316">
        <f t="shared" si="69"/>
        <v>2992.82</v>
      </c>
      <c r="L240" s="317">
        <f t="shared" si="70"/>
        <v>2992.82</v>
      </c>
      <c r="M240" s="318">
        <f t="shared" si="60"/>
        <v>1.0838355421797287E-4</v>
      </c>
    </row>
    <row r="241" spans="2:13" s="313" customFormat="1" ht="54" outlineLevel="1" x14ac:dyDescent="0.2">
      <c r="B241" s="314" t="s">
        <v>649</v>
      </c>
      <c r="C241" s="315" t="str">
        <f>VLOOKUP(D241,Fontes!$A$6:$H$11629,8,FALSE)</f>
        <v>Custo Mercado Reajustado</v>
      </c>
      <c r="D241" s="315" t="s">
        <v>1358</v>
      </c>
      <c r="E241" s="204" t="str">
        <f>VLOOKUP(D241,Fontes!$A$6:$H$11629,2,FALSE)</f>
        <v>Porta dupla lisa em chapa de aço com pintura eletrostática na cor cinza claro, completa, dimensões 1,60 x 2,10 m</v>
      </c>
      <c r="F241" s="203">
        <v>4</v>
      </c>
      <c r="G241" s="203">
        <f>VLOOKUP(D241,Fontes!$A$6:$L$11629,3,FALSE)</f>
        <v>0</v>
      </c>
      <c r="H241" s="203">
        <v>2307.7800000000002</v>
      </c>
      <c r="I241" s="203">
        <v>0</v>
      </c>
      <c r="J241" s="203">
        <v>0</v>
      </c>
      <c r="K241" s="316">
        <f t="shared" si="69"/>
        <v>2307.7800000000002</v>
      </c>
      <c r="L241" s="317">
        <f t="shared" si="70"/>
        <v>9231.1200000000008</v>
      </c>
      <c r="M241" s="318">
        <f t="shared" si="60"/>
        <v>3.3430062449883849E-4</v>
      </c>
    </row>
    <row r="242" spans="2:13" s="313" customFormat="1" ht="54" outlineLevel="1" x14ac:dyDescent="0.2">
      <c r="B242" s="314" t="s">
        <v>2018</v>
      </c>
      <c r="C242" s="315" t="str">
        <f>VLOOKUP(D242,Fontes!$A$6:$H$11629,8,FALSE)</f>
        <v>Custo Mercado Reajustado</v>
      </c>
      <c r="D242" s="315" t="s">
        <v>1359</v>
      </c>
      <c r="E242" s="204" t="str">
        <f>VLOOKUP(D242,Fontes!$A$6:$H$11629,2,FALSE)</f>
        <v>Porta simples lisa em chapa de aço com pintura eletrostática na cor cinza claro, completa, dimensões 1,05 x 2,10 m</v>
      </c>
      <c r="F242" s="203">
        <v>1</v>
      </c>
      <c r="G242" s="203">
        <f>VLOOKUP(D242,Fontes!$A$6:$L$11629,3,FALSE)</f>
        <v>0</v>
      </c>
      <c r="H242" s="203">
        <v>1692.3720000000001</v>
      </c>
      <c r="I242" s="203">
        <v>0</v>
      </c>
      <c r="J242" s="203">
        <v>0</v>
      </c>
      <c r="K242" s="316">
        <f t="shared" ref="K242:K243" si="71">ROUND(+H242+I242+J242,2)</f>
        <v>1692.37</v>
      </c>
      <c r="L242" s="317">
        <f t="shared" ref="L242:L243" si="72">ROUND(F242*K242,2)</f>
        <v>1692.37</v>
      </c>
      <c r="M242" s="318">
        <f t="shared" si="60"/>
        <v>6.1288375395737377E-5</v>
      </c>
    </row>
    <row r="243" spans="2:13" s="313" customFormat="1" ht="54" outlineLevel="1" x14ac:dyDescent="0.2">
      <c r="B243" s="314" t="s">
        <v>2019</v>
      </c>
      <c r="C243" s="315" t="str">
        <f>VLOOKUP(D243,Fontes!$A$6:$H$11629,8,FALSE)</f>
        <v>Custo Mercado Reajustado</v>
      </c>
      <c r="D243" s="315" t="s">
        <v>1374</v>
      </c>
      <c r="E243" s="204" t="str">
        <f>VLOOKUP(D243,Fontes!$A$6:$H$11629,2,FALSE)</f>
        <v>Corrimão duplo para parede em aço galvanizado</v>
      </c>
      <c r="F243" s="203">
        <v>49.3</v>
      </c>
      <c r="G243" s="203" t="str">
        <f>VLOOKUP(D243,Fontes!$A$6:$L$11629,3,FALSE)</f>
        <v>m</v>
      </c>
      <c r="H243" s="203">
        <v>448.73500000000001</v>
      </c>
      <c r="I243" s="203">
        <v>0</v>
      </c>
      <c r="J243" s="203">
        <v>0</v>
      </c>
      <c r="K243" s="316">
        <f t="shared" si="71"/>
        <v>448.74</v>
      </c>
      <c r="L243" s="317">
        <f t="shared" si="72"/>
        <v>22122.880000000001</v>
      </c>
      <c r="M243" s="318">
        <f t="shared" si="60"/>
        <v>8.0116958719124692E-4</v>
      </c>
    </row>
    <row r="244" spans="2:13" s="313" customFormat="1" ht="54" outlineLevel="1" x14ac:dyDescent="0.2">
      <c r="B244" s="314" t="s">
        <v>2020</v>
      </c>
      <c r="C244" s="315" t="str">
        <f>VLOOKUP(D244,Fontes!$A$6:$H$11629,8,FALSE)</f>
        <v>Custo Mercado Reajustado</v>
      </c>
      <c r="D244" s="315" t="s">
        <v>1375</v>
      </c>
      <c r="E244" s="204" t="str">
        <f>VLOOKUP(D244,Fontes!$A$6:$H$11629,2,FALSE)</f>
        <v>Corrimão duplo em aço inox polido para instalação em guarda corpo de vidro</v>
      </c>
      <c r="F244" s="203">
        <f>42.4</f>
        <v>42.4</v>
      </c>
      <c r="G244" s="203" t="str">
        <f>VLOOKUP(D244,Fontes!$A$6:$L$11629,3,FALSE)</f>
        <v>m</v>
      </c>
      <c r="H244" s="203">
        <v>769.26</v>
      </c>
      <c r="I244" s="203">
        <v>0</v>
      </c>
      <c r="J244" s="203">
        <v>0</v>
      </c>
      <c r="K244" s="316">
        <f t="shared" ref="K244" si="73">ROUND(+H244+I244+J244,2)</f>
        <v>769.26</v>
      </c>
      <c r="L244" s="317">
        <f t="shared" ref="L244" si="74">ROUND(F244*K244,2)</f>
        <v>32616.62</v>
      </c>
      <c r="M244" s="318">
        <f t="shared" si="60"/>
        <v>1.1811953950377964E-3</v>
      </c>
    </row>
    <row r="245" spans="2:13" s="313" customFormat="1" ht="54" outlineLevel="1" x14ac:dyDescent="0.2">
      <c r="B245" s="314" t="s">
        <v>2021</v>
      </c>
      <c r="C245" s="315" t="str">
        <f>VLOOKUP(D245,Fontes!$A$6:$H$11629,8,FALSE)</f>
        <v>Custo Mercado Reajustado</v>
      </c>
      <c r="D245" s="315" t="s">
        <v>1378</v>
      </c>
      <c r="E245" s="204" t="str">
        <f>VLOOKUP(D245,Fontes!$A$6:$H$11629,2,FALSE)</f>
        <v>Guarda corpo com corrimão duplo para instalação em rampas PNE nos pavimentos</v>
      </c>
      <c r="F245" s="203">
        <v>15.9</v>
      </c>
      <c r="G245" s="203" t="str">
        <f>VLOOKUP(D245,Fontes!$A$6:$L$11629,3,FALSE)</f>
        <v>m</v>
      </c>
      <c r="H245" s="203">
        <v>1410.31</v>
      </c>
      <c r="I245" s="203">
        <v>0</v>
      </c>
      <c r="J245" s="203">
        <v>0</v>
      </c>
      <c r="K245" s="316">
        <f t="shared" ref="K245" si="75">ROUND(+H245+I245+J245,2)</f>
        <v>1410.31</v>
      </c>
      <c r="L245" s="317">
        <f t="shared" ref="L245" si="76">ROUND(F245*K245,2)</f>
        <v>22423.93</v>
      </c>
      <c r="M245" s="318">
        <f t="shared" si="60"/>
        <v>8.1207196989295321E-4</v>
      </c>
    </row>
    <row r="246" spans="2:13" s="313" customFormat="1" ht="18" outlineLevel="1" x14ac:dyDescent="0.2">
      <c r="B246" s="314" t="s">
        <v>2022</v>
      </c>
      <c r="C246" s="315" t="str">
        <f>VLOOKUP(D246,Fontes!$A$6:$H$11629,8,FALSE)</f>
        <v>SBC / RJ</v>
      </c>
      <c r="D246" s="315">
        <v>111700</v>
      </c>
      <c r="E246" s="204" t="str">
        <f>VLOOKUP(D246,Fontes!$A$6:$H$11629,2,FALSE)</f>
        <v>Escada marinheiro em perfis de aço com guarda corpo</v>
      </c>
      <c r="F246" s="203">
        <v>2</v>
      </c>
      <c r="G246" s="203" t="str">
        <f>VLOOKUP(D246,Fontes!$A$6:$L$11629,3,FALSE)</f>
        <v>m</v>
      </c>
      <c r="H246" s="203">
        <v>771.11</v>
      </c>
      <c r="I246" s="203">
        <v>22.04</v>
      </c>
      <c r="J246" s="203">
        <v>0</v>
      </c>
      <c r="K246" s="316">
        <f t="shared" ref="K246" si="77">ROUND(+H246+I246+J246,2)</f>
        <v>793.15</v>
      </c>
      <c r="L246" s="317">
        <f t="shared" ref="L246" si="78">ROUND(F246*K246,2)</f>
        <v>1586.3</v>
      </c>
      <c r="M246" s="318">
        <f t="shared" si="60"/>
        <v>5.7447100746443273E-5</v>
      </c>
    </row>
    <row r="247" spans="2:13" s="313" customFormat="1" ht="18" outlineLevel="1" x14ac:dyDescent="0.2">
      <c r="B247" s="314" t="s">
        <v>2023</v>
      </c>
      <c r="C247" s="315" t="str">
        <f>VLOOKUP(D247,Fontes!$A$6:$H$11629,8,FALSE)</f>
        <v>SBC / RJ</v>
      </c>
      <c r="D247" s="315">
        <v>202310</v>
      </c>
      <c r="E247" s="204" t="str">
        <f>VLOOKUP(D247,Fontes!$A$6:$H$11629,2,FALSE)</f>
        <v>Anel tátil para corrimão</v>
      </c>
      <c r="F247" s="203">
        <v>40</v>
      </c>
      <c r="G247" s="203" t="str">
        <f>VLOOKUP(D247,Fontes!$A$6:$L$11629,3,FALSE)</f>
        <v>un</v>
      </c>
      <c r="H247" s="203">
        <v>12</v>
      </c>
      <c r="I247" s="203">
        <v>4.1000000000000014</v>
      </c>
      <c r="J247" s="203">
        <v>0</v>
      </c>
      <c r="K247" s="316">
        <f t="shared" ref="K247" si="79">ROUND(+H247+I247+J247,2)</f>
        <v>16.100000000000001</v>
      </c>
      <c r="L247" s="317">
        <f t="shared" ref="L247" si="80">ROUND(F247*K247,2)</f>
        <v>644</v>
      </c>
      <c r="M247" s="318">
        <f t="shared" si="60"/>
        <v>2.3322153994017189E-5</v>
      </c>
    </row>
    <row r="248" spans="2:13" s="109" customFormat="1" ht="18" outlineLevel="1" x14ac:dyDescent="0.2">
      <c r="B248" s="114"/>
      <c r="C248" s="115"/>
      <c r="D248" s="115"/>
      <c r="E248" s="116"/>
      <c r="F248" s="117"/>
      <c r="G248" s="117"/>
      <c r="H248" s="117"/>
      <c r="I248" s="117"/>
      <c r="J248" s="117"/>
      <c r="K248" s="118"/>
      <c r="L248" s="119"/>
      <c r="M248" s="120">
        <f t="shared" si="60"/>
        <v>0</v>
      </c>
    </row>
    <row r="249" spans="2:13" s="109" customFormat="1" ht="25.5" customHeight="1" outlineLevel="1" x14ac:dyDescent="0.2">
      <c r="B249" s="217" t="s">
        <v>650</v>
      </c>
      <c r="C249" s="218"/>
      <c r="D249" s="218"/>
      <c r="E249" s="311" t="s">
        <v>310</v>
      </c>
      <c r="F249" s="219"/>
      <c r="G249" s="220"/>
      <c r="H249" s="221"/>
      <c r="I249" s="221"/>
      <c r="J249" s="219"/>
      <c r="K249" s="219"/>
      <c r="L249" s="222">
        <f>SUBTOTAL(9,L250:L254)</f>
        <v>575890.83000000007</v>
      </c>
      <c r="M249" s="223">
        <f t="shared" si="60"/>
        <v>2.0855612765531641E-2</v>
      </c>
    </row>
    <row r="250" spans="2:13" s="313" customFormat="1" ht="72" outlineLevel="1" x14ac:dyDescent="0.2">
      <c r="B250" s="314" t="s">
        <v>651</v>
      </c>
      <c r="C250" s="315" t="str">
        <f>VLOOKUP(D250,Fontes!$A$6:$H$11629,8,FALSE)</f>
        <v>Custo Mercado Reajustado</v>
      </c>
      <c r="D250" s="315" t="s">
        <v>166</v>
      </c>
      <c r="E250" s="204" t="str">
        <f>VLOOKUP(D250,Fontes!$A$6:$H$11629,2,FALSE)</f>
        <v>DIV-01 - Divisória em painel de vidro piso/teto com estrutura em alumínio anodizado fosco e vidro único laminado 10 mm, referência linha ABS 75 mm Light JS da Divdesign ou equivalente</v>
      </c>
      <c r="F250" s="203">
        <v>130.51</v>
      </c>
      <c r="G250" s="203" t="str">
        <f>VLOOKUP(D250,Fontes!$A$6:$L$11629,3,FALSE)</f>
        <v>m2</v>
      </c>
      <c r="H250" s="203">
        <v>1204.0637849966733</v>
      </c>
      <c r="I250" s="203">
        <v>0</v>
      </c>
      <c r="J250" s="203">
        <v>0</v>
      </c>
      <c r="K250" s="316">
        <f t="shared" ref="K250:K251" si="81">ROUND(+H250+I250+J250,2)</f>
        <v>1204.06</v>
      </c>
      <c r="L250" s="317">
        <f t="shared" ref="L250:L251" si="82">ROUND(F250*K250,2)</f>
        <v>157141.87</v>
      </c>
      <c r="M250" s="318">
        <f t="shared" si="60"/>
        <v>5.6908181538009783E-3</v>
      </c>
    </row>
    <row r="251" spans="2:13" s="313" customFormat="1" ht="72" outlineLevel="1" x14ac:dyDescent="0.2">
      <c r="B251" s="314" t="s">
        <v>2024</v>
      </c>
      <c r="C251" s="315" t="str">
        <f>VLOOKUP(D251,Fontes!$A$6:$H$11629,8,FALSE)</f>
        <v>Custo Mercado Reajustado</v>
      </c>
      <c r="D251" s="315" t="s">
        <v>167</v>
      </c>
      <c r="E251" s="204" t="str">
        <f>VLOOKUP(D251,Fontes!$A$6:$H$11629,2,FALSE)</f>
        <v>P-14 - Porta para divisória de vidro largura 0,82 m em vidro único laminado 10 mm, completa, folha única bandeira cadeirinha cega referência para linha ABS 75 mm Light JS da Divdesign ou equivalente</v>
      </c>
      <c r="F251" s="203">
        <v>5</v>
      </c>
      <c r="G251" s="203" t="str">
        <f>VLOOKUP(D251,Fontes!$A$6:$L$11629,3,FALSE)</f>
        <v>un</v>
      </c>
      <c r="H251" s="203">
        <v>4526.7198720666665</v>
      </c>
      <c r="I251" s="203">
        <v>0</v>
      </c>
      <c r="J251" s="203">
        <v>0</v>
      </c>
      <c r="K251" s="316">
        <f t="shared" si="81"/>
        <v>4526.72</v>
      </c>
      <c r="L251" s="317">
        <f t="shared" si="82"/>
        <v>22633.599999999999</v>
      </c>
      <c r="M251" s="318">
        <f t="shared" si="60"/>
        <v>8.1966506931519781E-4</v>
      </c>
    </row>
    <row r="252" spans="2:13" s="313" customFormat="1" ht="54" outlineLevel="1" x14ac:dyDescent="0.2">
      <c r="B252" s="314" t="s">
        <v>2025</v>
      </c>
      <c r="C252" s="315" t="str">
        <f>VLOOKUP(D252,Fontes!$A$6:$H$11629,8,FALSE)</f>
        <v>Custo Mercado Reajustado</v>
      </c>
      <c r="D252" s="315" t="s">
        <v>1376</v>
      </c>
      <c r="E252" s="204" t="str">
        <f>VLOOKUP(D252,Fontes!$A$6:$H$11629,2,FALSE)</f>
        <v>Guarda corpo em vidro laminado e temperado e= 12 mm, h= 1,18 m com afastamento de 0,11 m do piso, instalação reta</v>
      </c>
      <c r="F252" s="203">
        <v>40.200000000000003</v>
      </c>
      <c r="G252" s="203" t="str">
        <f>VLOOKUP(D252,Fontes!$A$6:$L$11629,3,FALSE)</f>
        <v>m</v>
      </c>
      <c r="H252" s="203">
        <v>1538.52</v>
      </c>
      <c r="I252" s="203">
        <v>0</v>
      </c>
      <c r="J252" s="203">
        <v>0</v>
      </c>
      <c r="K252" s="316">
        <f t="shared" ref="K252:K253" si="83">ROUND(+H252+I252+J252,2)</f>
        <v>1538.52</v>
      </c>
      <c r="L252" s="317">
        <f t="shared" ref="L252:L253" si="84">ROUND(F252*K252,2)</f>
        <v>61848.5</v>
      </c>
      <c r="M252" s="318">
        <f t="shared" si="60"/>
        <v>2.2398140392841182E-3</v>
      </c>
    </row>
    <row r="253" spans="2:13" s="313" customFormat="1" ht="54" outlineLevel="1" x14ac:dyDescent="0.2">
      <c r="B253" s="314" t="s">
        <v>2026</v>
      </c>
      <c r="C253" s="315" t="str">
        <f>VLOOKUP(D253,Fontes!$A$6:$H$11629,8,FALSE)</f>
        <v>Custo Mercado Reajustado</v>
      </c>
      <c r="D253" s="315" t="s">
        <v>1377</v>
      </c>
      <c r="E253" s="204" t="str">
        <f>VLOOKUP(D253,Fontes!$A$6:$H$11629,2,FALSE)</f>
        <v>Guarda corpo em vidro laminado e temperado e= 12 mm, h= 1,18 m com afastamento de 0,11 m do piso, instalação inclinada</v>
      </c>
      <c r="F253" s="203">
        <v>35</v>
      </c>
      <c r="G253" s="203" t="str">
        <f>VLOOKUP(D253,Fontes!$A$6:$L$11629,3,FALSE)</f>
        <v>m</v>
      </c>
      <c r="H253" s="203">
        <v>1794.94</v>
      </c>
      <c r="I253" s="203">
        <v>0</v>
      </c>
      <c r="J253" s="203">
        <v>0</v>
      </c>
      <c r="K253" s="316">
        <f t="shared" si="83"/>
        <v>1794.94</v>
      </c>
      <c r="L253" s="317">
        <f t="shared" si="84"/>
        <v>62822.9</v>
      </c>
      <c r="M253" s="318">
        <f t="shared" si="60"/>
        <v>2.2751014722837614E-3</v>
      </c>
    </row>
    <row r="254" spans="2:13" s="313" customFormat="1" ht="54" outlineLevel="1" x14ac:dyDescent="0.2">
      <c r="B254" s="314" t="s">
        <v>2027</v>
      </c>
      <c r="C254" s="315" t="str">
        <f>VLOOKUP(D254,Fontes!$A$6:$H$11629,8,FALSE)</f>
        <v>Custo Mercado Reajustado</v>
      </c>
      <c r="D254" s="315" t="s">
        <v>1355</v>
      </c>
      <c r="E254" s="204" t="str">
        <f>VLOOKUP(D254,Fontes!$A$6:$H$11629,2,FALSE)</f>
        <v>Passarela metálica com estrutura em aço e cobertura em vidro laminado e temperado e= 12 mm, l= 2,19 m conforme projeto de arquitetura</v>
      </c>
      <c r="F254" s="203">
        <v>40.4</v>
      </c>
      <c r="G254" s="203" t="str">
        <f>VLOOKUP(D254,Fontes!$A$6:$L$11629,3,FALSE)</f>
        <v>m</v>
      </c>
      <c r="H254" s="203">
        <v>6718.9089347079034</v>
      </c>
      <c r="I254" s="203">
        <v>0</v>
      </c>
      <c r="J254" s="203">
        <v>0</v>
      </c>
      <c r="K254" s="316">
        <f t="shared" ref="K254" si="85">ROUND(+H254+I254+J254,2)</f>
        <v>6718.91</v>
      </c>
      <c r="L254" s="317">
        <f t="shared" ref="L254" si="86">ROUND(F254*K254,2)</f>
        <v>271443.96000000002</v>
      </c>
      <c r="M254" s="318">
        <f t="shared" si="60"/>
        <v>9.8302140308475817E-3</v>
      </c>
    </row>
    <row r="255" spans="2:13" s="109" customFormat="1" ht="18" outlineLevel="1" x14ac:dyDescent="0.2">
      <c r="B255" s="114"/>
      <c r="C255" s="115"/>
      <c r="D255" s="115"/>
      <c r="E255" s="116"/>
      <c r="F255" s="117"/>
      <c r="G255" s="117"/>
      <c r="H255" s="117"/>
      <c r="I255" s="117"/>
      <c r="J255" s="117"/>
      <c r="K255" s="118"/>
      <c r="L255" s="119"/>
      <c r="M255" s="120">
        <f t="shared" si="60"/>
        <v>0</v>
      </c>
    </row>
    <row r="256" spans="2:13" s="109" customFormat="1" ht="18" x14ac:dyDescent="0.2">
      <c r="B256" s="114"/>
      <c r="C256" s="115"/>
      <c r="D256" s="115"/>
      <c r="E256" s="116"/>
      <c r="F256" s="117"/>
      <c r="G256" s="117"/>
      <c r="H256" s="117"/>
      <c r="I256" s="117"/>
      <c r="J256" s="117"/>
      <c r="K256" s="118"/>
      <c r="L256" s="119"/>
      <c r="M256" s="120">
        <f t="shared" si="60"/>
        <v>0</v>
      </c>
    </row>
    <row r="257" spans="2:13" s="109" customFormat="1" ht="25.5" customHeight="1" x14ac:dyDescent="0.2">
      <c r="B257" s="206">
        <v>9</v>
      </c>
      <c r="C257" s="207"/>
      <c r="D257" s="207"/>
      <c r="E257" s="309" t="s">
        <v>313</v>
      </c>
      <c r="F257" s="209"/>
      <c r="G257" s="205"/>
      <c r="H257" s="210"/>
      <c r="I257" s="210"/>
      <c r="J257" s="209"/>
      <c r="K257" s="209"/>
      <c r="L257" s="211">
        <f>SUBTOTAL(9,L258:L399)</f>
        <v>3939757.9800000004</v>
      </c>
      <c r="M257" s="212">
        <f t="shared" si="60"/>
        <v>0.14267646321229518</v>
      </c>
    </row>
    <row r="258" spans="2:13" s="109" customFormat="1" ht="25.5" customHeight="1" x14ac:dyDescent="0.2">
      <c r="B258" s="217" t="s">
        <v>652</v>
      </c>
      <c r="C258" s="218"/>
      <c r="D258" s="218"/>
      <c r="E258" s="311" t="s">
        <v>314</v>
      </c>
      <c r="F258" s="219"/>
      <c r="G258" s="220"/>
      <c r="H258" s="221"/>
      <c r="I258" s="221"/>
      <c r="J258" s="219"/>
      <c r="K258" s="219"/>
      <c r="L258" s="222">
        <f>SUBTOTAL(9,L259:L274)</f>
        <v>431380.58</v>
      </c>
      <c r="M258" s="223">
        <f t="shared" si="60"/>
        <v>1.5622242727932379E-2</v>
      </c>
    </row>
    <row r="259" spans="2:13" s="313" customFormat="1" ht="54" x14ac:dyDescent="0.2">
      <c r="B259" s="314" t="s">
        <v>582</v>
      </c>
      <c r="C259" s="315" t="str">
        <f>VLOOKUP(D259,Fontes!$A$6:$H$11629,8,FALSE)</f>
        <v>Custo Mercado Reajustado</v>
      </c>
      <c r="D259" s="315" t="s">
        <v>1564</v>
      </c>
      <c r="E259" s="204" t="str">
        <f>VLOOKUP(D259,Fontes!$A$6:$H$11629,2,FALSE)</f>
        <v>Cabo multipolar 3x#1,5mm² HEPR 90°C - 0,6/1kV - LSOH baixa emissão de fumaça e livre de halogênio, veias nas cores preta, branca e verde</v>
      </c>
      <c r="F259" s="203">
        <v>475</v>
      </c>
      <c r="G259" s="203" t="str">
        <f>VLOOKUP(D259,Fontes!$A$6:$L$11629,3,FALSE)</f>
        <v>m</v>
      </c>
      <c r="H259" s="203">
        <v>9.8080649999999991</v>
      </c>
      <c r="I259" s="203">
        <v>5.76945</v>
      </c>
      <c r="J259" s="203">
        <v>0</v>
      </c>
      <c r="K259" s="316">
        <f t="shared" ref="K259:K274" si="87">ROUND(+H259+I259+J259,2)</f>
        <v>15.58</v>
      </c>
      <c r="L259" s="317">
        <f t="shared" ref="L259:L274" si="88">ROUND(F259*K259,2)</f>
        <v>7400.5</v>
      </c>
      <c r="M259" s="318">
        <f t="shared" si="60"/>
        <v>2.6800559104460278E-4</v>
      </c>
    </row>
    <row r="260" spans="2:13" s="313" customFormat="1" ht="72" x14ac:dyDescent="0.2">
      <c r="B260" s="314" t="s">
        <v>653</v>
      </c>
      <c r="C260" s="315" t="str">
        <f>VLOOKUP(D260,Fontes!$A$6:$H$11629,8,FALSE)</f>
        <v>Custo Mercado Reajustado</v>
      </c>
      <c r="D260" s="315" t="s">
        <v>1565</v>
      </c>
      <c r="E260" s="204" t="str">
        <f>VLOOKUP(D260,Fontes!$A$6:$H$11629,2,FALSE)</f>
        <v>Cabo isolado flexível de cobre com isolação em composto termoplástico com base poliolefínica não halogenada tipo LSZH (Low Smoke Zero
Halogen) - 750 V - 70° C  #  2,5 mm²</v>
      </c>
      <c r="F260" s="203">
        <v>8069</v>
      </c>
      <c r="G260" s="203" t="str">
        <f>VLOOKUP(D260,Fontes!$A$6:$L$11629,3,FALSE)</f>
        <v>m</v>
      </c>
      <c r="H260" s="203">
        <v>4.1193873000000005</v>
      </c>
      <c r="I260" s="203">
        <v>4.1607368530186983</v>
      </c>
      <c r="J260" s="203">
        <v>0</v>
      </c>
      <c r="K260" s="316">
        <f t="shared" si="87"/>
        <v>8.2799999999999994</v>
      </c>
      <c r="L260" s="317">
        <f t="shared" si="88"/>
        <v>66811.320000000007</v>
      </c>
      <c r="M260" s="318">
        <f t="shared" si="60"/>
        <v>2.4195402074278891E-3</v>
      </c>
    </row>
    <row r="261" spans="2:13" s="313" customFormat="1" ht="54" x14ac:dyDescent="0.2">
      <c r="B261" s="314" t="s">
        <v>654</v>
      </c>
      <c r="C261" s="315" t="str">
        <f>VLOOKUP(D261,Fontes!$A$6:$H$11629,8,FALSE)</f>
        <v>Custo Mercado Reajustado</v>
      </c>
      <c r="D261" s="315" t="s">
        <v>1566</v>
      </c>
      <c r="E261" s="204" t="str">
        <f>VLOOKUP(D261,Fontes!$A$6:$H$11629,2,FALSE)</f>
        <v>Cabo isolado flexível de cobre com isolação em composto termoplástico com base poliolefínica não halogenada tipo LSZH (Low Smoke Zero Halogen) - 750 V - 70° C   #   4 mm²</v>
      </c>
      <c r="F261" s="203">
        <v>957</v>
      </c>
      <c r="G261" s="203" t="str">
        <f>VLOOKUP(D261,Fontes!$A$6:$L$11629,3,FALSE)</f>
        <v>m</v>
      </c>
      <c r="H261" s="203">
        <v>6.4733229000000003</v>
      </c>
      <c r="I261" s="203">
        <v>6.5383007690293837</v>
      </c>
      <c r="J261" s="203">
        <v>0</v>
      </c>
      <c r="K261" s="316">
        <f t="shared" si="87"/>
        <v>13.01</v>
      </c>
      <c r="L261" s="317">
        <f t="shared" si="88"/>
        <v>12450.57</v>
      </c>
      <c r="M261" s="318">
        <f t="shared" si="60"/>
        <v>4.5089147648026489E-4</v>
      </c>
    </row>
    <row r="262" spans="2:13" s="313" customFormat="1" ht="54" x14ac:dyDescent="0.2">
      <c r="B262" s="314" t="s">
        <v>655</v>
      </c>
      <c r="C262" s="315" t="str">
        <f>VLOOKUP(D262,Fontes!$A$6:$H$11629,8,FALSE)</f>
        <v>Custo Mercado Reajustado</v>
      </c>
      <c r="D262" s="315" t="s">
        <v>1567</v>
      </c>
      <c r="E262" s="204" t="str">
        <f>VLOOKUP(D262,Fontes!$A$6:$H$11629,2,FALSE)</f>
        <v>Cabo isolado flexível de cobre com isolação em composto termoplástico com base poliolefínica não halogenada tipo LSZH (Low Smoke Zero Halogen) - 750 V - 70° C   #   6 mm²</v>
      </c>
      <c r="F262" s="203">
        <v>561</v>
      </c>
      <c r="G262" s="203" t="str">
        <f>VLOOKUP(D262,Fontes!$A$6:$L$11629,3,FALSE)</f>
        <v>m</v>
      </c>
      <c r="H262" s="203">
        <v>9.5888259000000016</v>
      </c>
      <c r="I262" s="203">
        <v>9.6157500000000002</v>
      </c>
      <c r="J262" s="203">
        <v>0</v>
      </c>
      <c r="K262" s="316">
        <f t="shared" si="87"/>
        <v>19.2</v>
      </c>
      <c r="L262" s="317">
        <f t="shared" si="88"/>
        <v>10771.2</v>
      </c>
      <c r="M262" s="318">
        <f t="shared" si="60"/>
        <v>3.9007388990738813E-4</v>
      </c>
    </row>
    <row r="263" spans="2:13" s="313" customFormat="1" ht="72" x14ac:dyDescent="0.2">
      <c r="B263" s="314" t="s">
        <v>656</v>
      </c>
      <c r="C263" s="315" t="str">
        <f>VLOOKUP(D263,Fontes!$A$6:$H$11629,8,FALSE)</f>
        <v>Custo Mercado Reajustado</v>
      </c>
      <c r="D263" s="315" t="s">
        <v>1568</v>
      </c>
      <c r="E263" s="204" t="str">
        <f>VLOOKUP(D263,Fontes!$A$6:$H$11629,2,FALSE)</f>
        <v>Cabo isolado flexível de cobre com isolação em composto termoplástico com base poliolefínica não halogenada tipo LSZH (Low Smoke Zero
Halogen) - 750 V - 70° C   #  10 mm²</v>
      </c>
      <c r="F263" s="203">
        <v>61</v>
      </c>
      <c r="G263" s="203" t="str">
        <f>VLOOKUP(D263,Fontes!$A$6:$L$11629,3,FALSE)</f>
        <v>m</v>
      </c>
      <c r="H263" s="203">
        <v>17.550666900000003</v>
      </c>
      <c r="I263" s="203">
        <v>11.5389</v>
      </c>
      <c r="J263" s="203">
        <v>0</v>
      </c>
      <c r="K263" s="316">
        <f t="shared" si="87"/>
        <v>29.09</v>
      </c>
      <c r="L263" s="317">
        <f t="shared" si="88"/>
        <v>1774.49</v>
      </c>
      <c r="M263" s="318">
        <f t="shared" si="60"/>
        <v>6.4262312175222917E-5</v>
      </c>
    </row>
    <row r="264" spans="2:13" s="313" customFormat="1" ht="54" x14ac:dyDescent="0.2">
      <c r="B264" s="314" t="s">
        <v>657</v>
      </c>
      <c r="C264" s="315" t="str">
        <f>VLOOKUP(D264,Fontes!$A$6:$H$11629,8,FALSE)</f>
        <v>Custo Mercado Reajustado</v>
      </c>
      <c r="D264" s="315" t="s">
        <v>1569</v>
      </c>
      <c r="E264" s="204" t="str">
        <f>VLOOKUP(D264,Fontes!$A$6:$H$11629,2,FALSE)</f>
        <v>Cabo isolado flexível de cobre com isolação em composto termoplástico com base poliolefínica não halogenada tipo LSZH (Low Smoke Zero Halogen) - 750 V - 70° C   #  16 mm²</v>
      </c>
      <c r="F264" s="203">
        <v>44</v>
      </c>
      <c r="G264" s="203" t="str">
        <f>VLOOKUP(D264,Fontes!$A$6:$L$11629,3,FALSE)</f>
        <v>m</v>
      </c>
      <c r="H264" s="203">
        <v>26.914484250000005</v>
      </c>
      <c r="I264" s="203">
        <v>11.5389</v>
      </c>
      <c r="J264" s="203">
        <v>0</v>
      </c>
      <c r="K264" s="316">
        <f t="shared" si="87"/>
        <v>38.450000000000003</v>
      </c>
      <c r="L264" s="317">
        <f t="shared" si="88"/>
        <v>1691.8</v>
      </c>
      <c r="M264" s="318">
        <f t="shared" si="60"/>
        <v>6.1267733116581176E-5</v>
      </c>
    </row>
    <row r="265" spans="2:13" s="313" customFormat="1" ht="72" x14ac:dyDescent="0.2">
      <c r="B265" s="314" t="s">
        <v>658</v>
      </c>
      <c r="C265" s="315" t="str">
        <f>VLOOKUP(D265,Fontes!$A$6:$H$11629,8,FALSE)</f>
        <v>Custo Mercado Reajustado</v>
      </c>
      <c r="D265" s="315" t="s">
        <v>1570</v>
      </c>
      <c r="E265" s="204" t="str">
        <f>VLOOKUP(D265,Fontes!$A$6:$H$11629,2,FALSE)</f>
        <v>Cabo isolado flexível de cobre com isolação em composto termoplástico com base poliolefínica não halogenada tipo LSZH (Low Smoke Zero
Halogen) - 750 V - 70° C   #  25 mm²</v>
      </c>
      <c r="F265" s="203">
        <v>44</v>
      </c>
      <c r="G265" s="203" t="str">
        <f>VLOOKUP(D265,Fontes!$A$6:$L$11629,3,FALSE)</f>
        <v>m</v>
      </c>
      <c r="H265" s="203">
        <v>41.477217099999997</v>
      </c>
      <c r="I265" s="203">
        <v>19.2315</v>
      </c>
      <c r="J265" s="203">
        <v>0</v>
      </c>
      <c r="K265" s="316">
        <f t="shared" si="87"/>
        <v>60.71</v>
      </c>
      <c r="L265" s="317">
        <f t="shared" si="88"/>
        <v>2671.24</v>
      </c>
      <c r="M265" s="318">
        <f t="shared" ref="M265:M328" si="89">+L265/$L$851</f>
        <v>9.6737687321395144E-5</v>
      </c>
    </row>
    <row r="266" spans="2:13" s="313" customFormat="1" ht="54" x14ac:dyDescent="0.2">
      <c r="B266" s="314" t="s">
        <v>659</v>
      </c>
      <c r="C266" s="315" t="str">
        <f>VLOOKUP(D266,Fontes!$A$6:$H$11629,8,FALSE)</f>
        <v>Custo Mercado Reajustado</v>
      </c>
      <c r="D266" s="315" t="s">
        <v>1571</v>
      </c>
      <c r="E266" s="204" t="str">
        <f>VLOOKUP(D266,Fontes!$A$6:$H$11629,2,FALSE)</f>
        <v>Cabo isolado flexível de cobre com isolação em composto termoplástico com base poliolefínica não halogenada tipo LSZH (Low Smoke Zero Halogen) - 750 V - 70° C   #  35 mm²</v>
      </c>
      <c r="F266" s="203">
        <v>154</v>
      </c>
      <c r="G266" s="203" t="str">
        <f>VLOOKUP(D266,Fontes!$A$6:$L$11629,3,FALSE)</f>
        <v>m</v>
      </c>
      <c r="H266" s="203">
        <v>57.671422200000009</v>
      </c>
      <c r="I266" s="203">
        <v>25.00095</v>
      </c>
      <c r="J266" s="203">
        <v>0</v>
      </c>
      <c r="K266" s="316">
        <f t="shared" si="87"/>
        <v>82.67</v>
      </c>
      <c r="L266" s="317">
        <f t="shared" si="88"/>
        <v>12731.18</v>
      </c>
      <c r="M266" s="318">
        <f t="shared" si="89"/>
        <v>4.6105363429433505E-4</v>
      </c>
    </row>
    <row r="267" spans="2:13" s="313" customFormat="1" ht="72" x14ac:dyDescent="0.2">
      <c r="B267" s="314" t="s">
        <v>660</v>
      </c>
      <c r="C267" s="315" t="str">
        <f>VLOOKUP(D267,Fontes!$A$6:$H$11629,8,FALSE)</f>
        <v>Custo Mercado Reajustado</v>
      </c>
      <c r="D267" s="315" t="s">
        <v>1572</v>
      </c>
      <c r="E267" s="204" t="str">
        <f>VLOOKUP(D267,Fontes!$A$6:$H$11629,2,FALSE)</f>
        <v>Cabo isolado flexível de cobre com isolação em composto termoplástico com base poliolefínica não halogenada tipo LSZH (Low Smoke Zero
Halogen) - 750 V - 70° C   #  240 mm²</v>
      </c>
      <c r="F267" s="203">
        <v>44</v>
      </c>
      <c r="G267" s="203" t="str">
        <f>VLOOKUP(D267,Fontes!$A$6:$L$11629,3,FALSE)</f>
        <v>m</v>
      </c>
      <c r="H267" s="203">
        <v>279.47792745000004</v>
      </c>
      <c r="I267" s="203">
        <v>230.77799999999999</v>
      </c>
      <c r="J267" s="203">
        <v>0</v>
      </c>
      <c r="K267" s="316">
        <f t="shared" si="87"/>
        <v>510.26</v>
      </c>
      <c r="L267" s="317">
        <f t="shared" si="88"/>
        <v>22451.439999999999</v>
      </c>
      <c r="M267" s="318">
        <f t="shared" si="89"/>
        <v>8.1306823147117579E-4</v>
      </c>
    </row>
    <row r="268" spans="2:13" s="313" customFormat="1" ht="72" x14ac:dyDescent="0.2">
      <c r="B268" s="314" t="s">
        <v>661</v>
      </c>
      <c r="C268" s="315" t="str">
        <f>VLOOKUP(D268,Fontes!$A$6:$H$11629,8,FALSE)</f>
        <v>Custo Mercado Reajustado</v>
      </c>
      <c r="D268" s="315" t="s">
        <v>1573</v>
      </c>
      <c r="E268" s="204" t="str">
        <f>VLOOKUP(D268,Fontes!$A$6:$H$11629,2,FALSE)</f>
        <v>Cabo isolado flexível de cobre com isolação em HEPR e cobertura  em composto termoplástico com base poliolefínica não halogenada tipo LSZH
(Low Smoke Zero Halogen) - 0,6/1KV – 90° C   #   6 mm²</v>
      </c>
      <c r="F268" s="203">
        <v>682</v>
      </c>
      <c r="G268" s="203" t="str">
        <f>VLOOKUP(D268,Fontes!$A$6:$L$11629,3,FALSE)</f>
        <v>m</v>
      </c>
      <c r="H268" s="203">
        <v>9.5888259000000016</v>
      </c>
      <c r="I268" s="203">
        <v>9.6850765402199954</v>
      </c>
      <c r="J268" s="203">
        <v>0</v>
      </c>
      <c r="K268" s="316">
        <f t="shared" si="87"/>
        <v>19.27</v>
      </c>
      <c r="L268" s="317">
        <f t="shared" si="88"/>
        <v>13142.14</v>
      </c>
      <c r="M268" s="318">
        <f t="shared" si="89"/>
        <v>4.7593635542070349E-4</v>
      </c>
    </row>
    <row r="269" spans="2:13" s="313" customFormat="1" ht="72" x14ac:dyDescent="0.2">
      <c r="B269" s="314" t="s">
        <v>662</v>
      </c>
      <c r="C269" s="315" t="str">
        <f>VLOOKUP(D269,Fontes!$A$6:$H$11629,8,FALSE)</f>
        <v>Custo Mercado Reajustado</v>
      </c>
      <c r="D269" s="315" t="s">
        <v>1574</v>
      </c>
      <c r="E269" s="204" t="str">
        <f>VLOOKUP(D269,Fontes!$A$6:$H$11629,2,FALSE)</f>
        <v>Cabo isolado flexível de cobre com isolação em HEPR e cobertura  em composto termoplástico com base poliolefínica não halogenada tipo LSZH
(Low Smoke Zero Halogen) - 0,6/1KV -90° C   #  10 mm²</v>
      </c>
      <c r="F269" s="203">
        <v>88</v>
      </c>
      <c r="G269" s="203" t="str">
        <f>VLOOKUP(D269,Fontes!$A$6:$L$11629,3,FALSE)</f>
        <v>m</v>
      </c>
      <c r="H269" s="203">
        <v>17.550666900000003</v>
      </c>
      <c r="I269" s="203">
        <v>11.5389</v>
      </c>
      <c r="J269" s="203">
        <v>0</v>
      </c>
      <c r="K269" s="316">
        <f t="shared" si="87"/>
        <v>29.09</v>
      </c>
      <c r="L269" s="317">
        <f t="shared" si="88"/>
        <v>2559.92</v>
      </c>
      <c r="M269" s="318">
        <f t="shared" si="89"/>
        <v>9.2706286416715042E-5</v>
      </c>
    </row>
    <row r="270" spans="2:13" s="313" customFormat="1" ht="72" x14ac:dyDescent="0.2">
      <c r="B270" s="314" t="s">
        <v>663</v>
      </c>
      <c r="C270" s="315" t="str">
        <f>VLOOKUP(D270,Fontes!$A$6:$H$11629,8,FALSE)</f>
        <v>Custo Mercado Reajustado</v>
      </c>
      <c r="D270" s="315" t="s">
        <v>1575</v>
      </c>
      <c r="E270" s="204" t="str">
        <f>VLOOKUP(D270,Fontes!$A$6:$H$11629,2,FALSE)</f>
        <v>Cabo isolado flexível de cobre com isolação em HEPR e cobertura  em composto termoplástico com base poliolefínica não halogenada tipo LSZH (Low Smoke Zero Halogen) - 0,6/1KV – 90° C   #  16 mm²</v>
      </c>
      <c r="F270" s="203">
        <v>110</v>
      </c>
      <c r="G270" s="203" t="str">
        <f>VLOOKUP(D270,Fontes!$A$6:$L$11629,3,FALSE)</f>
        <v>m</v>
      </c>
      <c r="H270" s="203">
        <v>26.914484250000005</v>
      </c>
      <c r="I270" s="203">
        <v>11.5389</v>
      </c>
      <c r="J270" s="203">
        <v>0</v>
      </c>
      <c r="K270" s="316">
        <f t="shared" si="87"/>
        <v>38.450000000000003</v>
      </c>
      <c r="L270" s="317">
        <f t="shared" si="88"/>
        <v>4229.5</v>
      </c>
      <c r="M270" s="318">
        <f t="shared" si="89"/>
        <v>1.5316933279145296E-4</v>
      </c>
    </row>
    <row r="271" spans="2:13" s="313" customFormat="1" ht="72" x14ac:dyDescent="0.2">
      <c r="B271" s="314" t="s">
        <v>664</v>
      </c>
      <c r="C271" s="315" t="str">
        <f>VLOOKUP(D271,Fontes!$A$6:$H$11629,8,FALSE)</f>
        <v>Custo Mercado Reajustado</v>
      </c>
      <c r="D271" s="315" t="s">
        <v>1576</v>
      </c>
      <c r="E271" s="204" t="str">
        <f>VLOOKUP(D271,Fontes!$A$6:$H$11629,2,FALSE)</f>
        <v>Cabo isolado flexível de cobre com isolação em HEPR e cobertura  em composto termoplástico com base poliolefínica não halogenada tipo LSZH
(Low Smoke Zero Halogen) - 0,6/1KV – 90° C   #  25mm²</v>
      </c>
      <c r="F271" s="203">
        <v>242</v>
      </c>
      <c r="G271" s="203" t="str">
        <f>VLOOKUP(D271,Fontes!$A$6:$L$11629,3,FALSE)</f>
        <v>m</v>
      </c>
      <c r="H271" s="203">
        <v>41.477217099999997</v>
      </c>
      <c r="I271" s="203">
        <v>19.2315</v>
      </c>
      <c r="J271" s="203">
        <v>0</v>
      </c>
      <c r="K271" s="316">
        <f t="shared" si="87"/>
        <v>60.71</v>
      </c>
      <c r="L271" s="317">
        <f t="shared" si="88"/>
        <v>14691.82</v>
      </c>
      <c r="M271" s="318">
        <f t="shared" si="89"/>
        <v>5.3205728026767328E-4</v>
      </c>
    </row>
    <row r="272" spans="2:13" s="313" customFormat="1" ht="72" x14ac:dyDescent="0.2">
      <c r="B272" s="314" t="s">
        <v>665</v>
      </c>
      <c r="C272" s="315" t="str">
        <f>VLOOKUP(D272,Fontes!$A$6:$H$11629,8,FALSE)</f>
        <v>Custo Mercado Reajustado</v>
      </c>
      <c r="D272" s="315" t="s">
        <v>1577</v>
      </c>
      <c r="E272" s="204" t="str">
        <f>VLOOKUP(D272,Fontes!$A$6:$H$11629,2,FALSE)</f>
        <v>Cabo isolado flexível de cobre com isolação  em HEPR e cobertura  em composto termoplástico com base poliolefínica não halogenada tipo LSZH
(Low Smoke Zero Halogen) - 0,6/1KV – 90° C   #  50 mm²</v>
      </c>
      <c r="F272" s="203">
        <v>198</v>
      </c>
      <c r="G272" s="203" t="str">
        <f>VLOOKUP(D272,Fontes!$A$6:$L$11629,3,FALSE)</f>
        <v>m</v>
      </c>
      <c r="H272" s="203">
        <v>81.366553350000004</v>
      </c>
      <c r="I272" s="203">
        <v>38.463000000000001</v>
      </c>
      <c r="J272" s="203">
        <v>0</v>
      </c>
      <c r="K272" s="316">
        <f t="shared" si="87"/>
        <v>119.83</v>
      </c>
      <c r="L272" s="317">
        <f t="shared" si="88"/>
        <v>23726.34</v>
      </c>
      <c r="M272" s="318">
        <f t="shared" si="89"/>
        <v>8.5923812918386609E-4</v>
      </c>
    </row>
    <row r="273" spans="2:13" s="313" customFormat="1" ht="72" x14ac:dyDescent="0.2">
      <c r="B273" s="314" t="s">
        <v>666</v>
      </c>
      <c r="C273" s="315" t="str">
        <f>VLOOKUP(D273,Fontes!$A$6:$H$11629,8,FALSE)</f>
        <v>Custo Mercado Reajustado</v>
      </c>
      <c r="D273" s="315" t="s">
        <v>1578</v>
      </c>
      <c r="E273" s="204" t="str">
        <f>VLOOKUP(D273,Fontes!$A$6:$H$11629,2,FALSE)</f>
        <v>Cabo isolado flexível de cobre com isolação em HEPR e cobertura  em composto termoplástico com base poliolefínica não halogenada tipo LSZH
(Low Smoke Zero Halogen) - 0,6/1KV – 90° C   #  95 mm²</v>
      </c>
      <c r="F273" s="203">
        <v>88</v>
      </c>
      <c r="G273" s="203" t="str">
        <f>VLOOKUP(D273,Fontes!$A$6:$L$11629,3,FALSE)</f>
        <v>m</v>
      </c>
      <c r="H273" s="203">
        <v>154.2173985</v>
      </c>
      <c r="I273" s="203">
        <v>134.62049999999999</v>
      </c>
      <c r="J273" s="203">
        <v>0</v>
      </c>
      <c r="K273" s="316">
        <f t="shared" si="87"/>
        <v>288.83999999999997</v>
      </c>
      <c r="L273" s="317">
        <f t="shared" si="88"/>
        <v>25417.919999999998</v>
      </c>
      <c r="M273" s="318">
        <f t="shared" si="89"/>
        <v>9.2049789510498345E-4</v>
      </c>
    </row>
    <row r="274" spans="2:13" s="313" customFormat="1" ht="72" x14ac:dyDescent="0.2">
      <c r="B274" s="314" t="s">
        <v>667</v>
      </c>
      <c r="C274" s="315" t="str">
        <f>VLOOKUP(D274,Fontes!$A$6:$H$11629,8,FALSE)</f>
        <v>Custo Mercado Reajustado</v>
      </c>
      <c r="D274" s="315" t="s">
        <v>1579</v>
      </c>
      <c r="E274" s="204" t="str">
        <f>VLOOKUP(D274,Fontes!$A$6:$H$11629,2,FALSE)</f>
        <v>Cabo isolado flexível de cobre com isolação em HEPR e cobertura  em composto termoplástico com base poliolefínica não halogenada tipo LSZH (Low Smoke Zero Halogen) - 0,6/1KV – 90° C   #  240 mm²</v>
      </c>
      <c r="F274" s="203">
        <v>352</v>
      </c>
      <c r="G274" s="203" t="str">
        <f>VLOOKUP(D274,Fontes!$A$6:$L$11629,3,FALSE)</f>
        <v>m</v>
      </c>
      <c r="H274" s="203">
        <v>362.57146949999998</v>
      </c>
      <c r="I274" s="203">
        <v>230.77799999999999</v>
      </c>
      <c r="J274" s="203">
        <v>0</v>
      </c>
      <c r="K274" s="316">
        <f t="shared" si="87"/>
        <v>593.35</v>
      </c>
      <c r="L274" s="317">
        <f t="shared" si="88"/>
        <v>208859.2</v>
      </c>
      <c r="M274" s="318">
        <f t="shared" si="89"/>
        <v>7.5637366855081292E-3</v>
      </c>
    </row>
    <row r="275" spans="2:13" s="109" customFormat="1" ht="18" x14ac:dyDescent="0.2">
      <c r="B275" s="114"/>
      <c r="C275" s="115"/>
      <c r="D275" s="115"/>
      <c r="E275" s="116"/>
      <c r="F275" s="117"/>
      <c r="G275" s="117"/>
      <c r="H275" s="117"/>
      <c r="I275" s="117"/>
      <c r="J275" s="117"/>
      <c r="K275" s="118"/>
      <c r="L275" s="119"/>
      <c r="M275" s="120">
        <f t="shared" si="89"/>
        <v>0</v>
      </c>
    </row>
    <row r="276" spans="2:13" s="109" customFormat="1" ht="25.5" customHeight="1" x14ac:dyDescent="0.2">
      <c r="B276" s="217" t="s">
        <v>560</v>
      </c>
      <c r="C276" s="218"/>
      <c r="D276" s="218"/>
      <c r="E276" s="311" t="s">
        <v>338</v>
      </c>
      <c r="F276" s="219"/>
      <c r="G276" s="220"/>
      <c r="H276" s="221"/>
      <c r="I276" s="221"/>
      <c r="J276" s="219"/>
      <c r="K276" s="219"/>
      <c r="L276" s="222">
        <f>SUBTOTAL(9,L277:L285)</f>
        <v>139045.35999999999</v>
      </c>
      <c r="M276" s="223">
        <f t="shared" si="89"/>
        <v>5.0354616429713625E-3</v>
      </c>
    </row>
    <row r="277" spans="2:13" s="313" customFormat="1" ht="54" x14ac:dyDescent="0.2">
      <c r="B277" s="314" t="s">
        <v>668</v>
      </c>
      <c r="C277" s="315" t="str">
        <f>VLOOKUP(D277,Fontes!$A$6:$H$11629,8,FALSE)</f>
        <v>Custo Mercado Reajustado</v>
      </c>
      <c r="D277" s="315" t="s">
        <v>1580</v>
      </c>
      <c r="E277" s="204" t="str">
        <f>VLOOKUP(D277,Fontes!$A$6:$H$11629,2,FALSE)</f>
        <v>Eletroduto em aço galvanizado eletrolítico  Ø 3/4", inclusive conexões</v>
      </c>
      <c r="F277" s="203">
        <v>1634</v>
      </c>
      <c r="G277" s="203" t="str">
        <f>VLOOKUP(D277,Fontes!$A$6:$L$11629,3,FALSE)</f>
        <v>m</v>
      </c>
      <c r="H277" s="203">
        <v>15.126215800000001</v>
      </c>
      <c r="I277" s="203">
        <v>42.166795333954198</v>
      </c>
      <c r="J277" s="203">
        <v>0</v>
      </c>
      <c r="K277" s="316">
        <f t="shared" ref="K277:K285" si="90">ROUND(+H277+I277+J277,2)</f>
        <v>57.29</v>
      </c>
      <c r="L277" s="317">
        <f t="shared" ref="L277:L285" si="91">ROUND(F277*K277,2)</f>
        <v>93611.86</v>
      </c>
      <c r="M277" s="318">
        <f t="shared" si="89"/>
        <v>3.3901090288608353E-3</v>
      </c>
    </row>
    <row r="278" spans="2:13" s="313" customFormat="1" ht="54" x14ac:dyDescent="0.2">
      <c r="B278" s="314" t="s">
        <v>669</v>
      </c>
      <c r="C278" s="315" t="str">
        <f>VLOOKUP(D278,Fontes!$A$6:$H$11629,8,FALSE)</f>
        <v>Custo Mercado Reajustado</v>
      </c>
      <c r="D278" s="315" t="s">
        <v>1581</v>
      </c>
      <c r="E278" s="204" t="str">
        <f>VLOOKUP(D278,Fontes!$A$6:$H$11629,2,FALSE)</f>
        <v>Eletroduto em aço galvanizado eletrolítico  Ø 1", inclusive conexões</v>
      </c>
      <c r="F278" s="203">
        <v>48</v>
      </c>
      <c r="G278" s="203" t="str">
        <f>VLOOKUP(D278,Fontes!$A$6:$L$11629,3,FALSE)</f>
        <v>m</v>
      </c>
      <c r="H278" s="203">
        <v>19.085767966666666</v>
      </c>
      <c r="I278" s="203">
        <v>52.516191203647779</v>
      </c>
      <c r="J278" s="203">
        <v>0</v>
      </c>
      <c r="K278" s="316">
        <f t="shared" si="90"/>
        <v>71.599999999999994</v>
      </c>
      <c r="L278" s="317">
        <f t="shared" si="91"/>
        <v>3436.8</v>
      </c>
      <c r="M278" s="318">
        <f t="shared" si="89"/>
        <v>1.2446207895440726E-4</v>
      </c>
    </row>
    <row r="279" spans="2:13" s="313" customFormat="1" ht="54" x14ac:dyDescent="0.2">
      <c r="B279" s="314" t="s">
        <v>670</v>
      </c>
      <c r="C279" s="315" t="str">
        <f>VLOOKUP(D279,Fontes!$A$6:$H$11629,8,FALSE)</f>
        <v>Custo Mercado Reajustado</v>
      </c>
      <c r="D279" s="315" t="s">
        <v>1582</v>
      </c>
      <c r="E279" s="204" t="str">
        <f>VLOOKUP(D279,Fontes!$A$6:$H$11629,2,FALSE)</f>
        <v>Eletroduto em aço galvanizado eletrolítico  Ø 1 1/2", inclusive conexões</v>
      </c>
      <c r="F279" s="203">
        <v>24</v>
      </c>
      <c r="G279" s="203" t="str">
        <f>VLOOKUP(D279,Fontes!$A$6:$L$11629,3,FALSE)</f>
        <v>m</v>
      </c>
      <c r="H279" s="203">
        <v>40.220331733333332</v>
      </c>
      <c r="I279" s="203">
        <v>57.694499999999998</v>
      </c>
      <c r="J279" s="203">
        <v>0</v>
      </c>
      <c r="K279" s="316">
        <f t="shared" si="90"/>
        <v>97.91</v>
      </c>
      <c r="L279" s="317">
        <f t="shared" si="91"/>
        <v>2349.84</v>
      </c>
      <c r="M279" s="318">
        <f t="shared" si="89"/>
        <v>8.5098339039287819E-5</v>
      </c>
    </row>
    <row r="280" spans="2:13" s="313" customFormat="1" ht="54" x14ac:dyDescent="0.2">
      <c r="B280" s="314" t="s">
        <v>671</v>
      </c>
      <c r="C280" s="315" t="str">
        <f>VLOOKUP(D280,Fontes!$A$6:$H$11629,8,FALSE)</f>
        <v>Custo Mercado Reajustado</v>
      </c>
      <c r="D280" s="315" t="s">
        <v>1583</v>
      </c>
      <c r="E280" s="204" t="str">
        <f>VLOOKUP(D280,Fontes!$A$6:$H$11629,2,FALSE)</f>
        <v>Eletroduto em aço galvanizado eletrolítico  Ø 2", inclusive conexões</v>
      </c>
      <c r="F280" s="203">
        <v>83</v>
      </c>
      <c r="G280" s="203" t="str">
        <f>VLOOKUP(D280,Fontes!$A$6:$L$11629,3,FALSE)</f>
        <v>m</v>
      </c>
      <c r="H280" s="203">
        <v>54.0751317</v>
      </c>
      <c r="I280" s="203">
        <v>57.694499999999998</v>
      </c>
      <c r="J280" s="203">
        <v>0</v>
      </c>
      <c r="K280" s="316">
        <f t="shared" si="90"/>
        <v>111.77</v>
      </c>
      <c r="L280" s="317">
        <f t="shared" si="91"/>
        <v>9276.91</v>
      </c>
      <c r="M280" s="318">
        <f t="shared" si="89"/>
        <v>3.3595888759105276E-4</v>
      </c>
    </row>
    <row r="281" spans="2:13" s="313" customFormat="1" ht="54" x14ac:dyDescent="0.2">
      <c r="B281" s="314" t="s">
        <v>672</v>
      </c>
      <c r="C281" s="315" t="str">
        <f>VLOOKUP(D281,Fontes!$A$6:$H$11629,8,FALSE)</f>
        <v>Custo Mercado Reajustado</v>
      </c>
      <c r="D281" s="315" t="s">
        <v>1584</v>
      </c>
      <c r="E281" s="204" t="str">
        <f>VLOOKUP(D281,Fontes!$A$6:$H$11629,2,FALSE)</f>
        <v>Eletroduto em aço galvanizado eletrolítico  Ø 3", inclusive conexões</v>
      </c>
      <c r="F281" s="203">
        <v>28</v>
      </c>
      <c r="G281" s="203" t="str">
        <f>VLOOKUP(D281,Fontes!$A$6:$L$11629,3,FALSE)</f>
        <v>m</v>
      </c>
      <c r="H281" s="203">
        <v>139.60145849999998</v>
      </c>
      <c r="I281" s="203">
        <v>57.694499999999998</v>
      </c>
      <c r="J281" s="203">
        <v>0</v>
      </c>
      <c r="K281" s="316">
        <f t="shared" si="90"/>
        <v>197.3</v>
      </c>
      <c r="L281" s="317">
        <f t="shared" si="91"/>
        <v>5524.4</v>
      </c>
      <c r="M281" s="318">
        <f t="shared" si="89"/>
        <v>2.0006352100085178E-4</v>
      </c>
    </row>
    <row r="282" spans="2:13" s="313" customFormat="1" ht="54" x14ac:dyDescent="0.2">
      <c r="B282" s="314" t="s">
        <v>673</v>
      </c>
      <c r="C282" s="315" t="str">
        <f>VLOOKUP(D282,Fontes!$A$6:$H$11629,8,FALSE)</f>
        <v>Custo Mercado Reajustado</v>
      </c>
      <c r="D282" s="315" t="s">
        <v>1585</v>
      </c>
      <c r="E282" s="204" t="str">
        <f>VLOOKUP(D282,Fontes!$A$6:$H$11629,2,FALSE)</f>
        <v>Eletroduto rígido roscável em PVC Ø 3/4", inclusive conexões</v>
      </c>
      <c r="F282" s="203">
        <v>387</v>
      </c>
      <c r="G282" s="203" t="str">
        <f>VLOOKUP(D282,Fontes!$A$6:$L$11629,3,FALSE)</f>
        <v>m</v>
      </c>
      <c r="H282" s="203">
        <v>9.161459233333332</v>
      </c>
      <c r="I282" s="203">
        <v>27.272056683651979</v>
      </c>
      <c r="J282" s="203">
        <v>0</v>
      </c>
      <c r="K282" s="316">
        <f t="shared" si="90"/>
        <v>36.43</v>
      </c>
      <c r="L282" s="317">
        <f t="shared" si="91"/>
        <v>14098.41</v>
      </c>
      <c r="M282" s="318">
        <f t="shared" si="89"/>
        <v>5.1056721908508055E-4</v>
      </c>
    </row>
    <row r="283" spans="2:13" s="313" customFormat="1" ht="54" x14ac:dyDescent="0.2">
      <c r="B283" s="314" t="s">
        <v>674</v>
      </c>
      <c r="C283" s="315" t="str">
        <f>VLOOKUP(D283,Fontes!$A$6:$H$11629,8,FALSE)</f>
        <v>Custo Mercado Reajustado</v>
      </c>
      <c r="D283" s="315" t="s">
        <v>1586</v>
      </c>
      <c r="E283" s="204" t="str">
        <f>VLOOKUP(D283,Fontes!$A$6:$H$11629,2,FALSE)</f>
        <v>Eletroduto rígido roscável em PVC Ø1", inclusive conexões</v>
      </c>
      <c r="F283" s="203">
        <v>26</v>
      </c>
      <c r="G283" s="203" t="str">
        <f>VLOOKUP(D283,Fontes!$A$6:$L$11629,3,FALSE)</f>
        <v>m</v>
      </c>
      <c r="H283" s="203">
        <v>13.963778466666666</v>
      </c>
      <c r="I283" s="203">
        <v>33.967696241240887</v>
      </c>
      <c r="J283" s="203">
        <v>0</v>
      </c>
      <c r="K283" s="316">
        <f t="shared" si="90"/>
        <v>47.93</v>
      </c>
      <c r="L283" s="317">
        <f t="shared" si="91"/>
        <v>1246.18</v>
      </c>
      <c r="M283" s="318">
        <f t="shared" si="89"/>
        <v>4.5129816559416683E-5</v>
      </c>
    </row>
    <row r="284" spans="2:13" s="313" customFormat="1" ht="54" x14ac:dyDescent="0.2">
      <c r="B284" s="314" t="s">
        <v>675</v>
      </c>
      <c r="C284" s="315" t="str">
        <f>VLOOKUP(D284,Fontes!$A$6:$H$11629,8,FALSE)</f>
        <v>Custo Mercado Reajustado</v>
      </c>
      <c r="D284" s="315" t="s">
        <v>1587</v>
      </c>
      <c r="E284" s="204" t="str">
        <f>VLOOKUP(D284,Fontes!$A$6:$H$11629,2,FALSE)</f>
        <v>Eletroduto rígido roscável em PVC Ø2", inclusive conexões</v>
      </c>
      <c r="F284" s="203">
        <v>17</v>
      </c>
      <c r="G284" s="203" t="str">
        <f>VLOOKUP(D284,Fontes!$A$6:$L$11629,3,FALSE)</f>
        <v>m</v>
      </c>
      <c r="H284" s="203">
        <v>33.027750733333335</v>
      </c>
      <c r="I284" s="203">
        <v>57.694499999999998</v>
      </c>
      <c r="J284" s="203">
        <v>0</v>
      </c>
      <c r="K284" s="316">
        <f t="shared" si="90"/>
        <v>90.72</v>
      </c>
      <c r="L284" s="317">
        <f t="shared" si="91"/>
        <v>1542.24</v>
      </c>
      <c r="M284" s="318">
        <f t="shared" si="89"/>
        <v>5.5851488782194208E-5</v>
      </c>
    </row>
    <row r="285" spans="2:13" s="313" customFormat="1" ht="54" x14ac:dyDescent="0.2">
      <c r="B285" s="314" t="s">
        <v>676</v>
      </c>
      <c r="C285" s="315" t="str">
        <f>VLOOKUP(D285,Fontes!$A$6:$H$11629,8,FALSE)</f>
        <v>Custo Mercado Reajustado</v>
      </c>
      <c r="D285" s="315" t="s">
        <v>1588</v>
      </c>
      <c r="E285" s="204" t="str">
        <f>VLOOKUP(D285,Fontes!$A$6:$H$11629,2,FALSE)</f>
        <v>Eletroduto de polietieno de alta densidade (PEAD) em forma espiral corrugada, com envelopamento em concreto Ø 2"</v>
      </c>
      <c r="F285" s="203">
        <v>352</v>
      </c>
      <c r="G285" s="203" t="str">
        <f>VLOOKUP(D285,Fontes!$A$6:$L$11629,3,FALSE)</f>
        <v>m</v>
      </c>
      <c r="H285" s="203">
        <v>11.250427500000001</v>
      </c>
      <c r="I285" s="203">
        <v>11.363356951521654</v>
      </c>
      <c r="J285" s="203">
        <v>0</v>
      </c>
      <c r="K285" s="316">
        <f t="shared" si="90"/>
        <v>22.61</v>
      </c>
      <c r="L285" s="317">
        <f t="shared" si="91"/>
        <v>7958.72</v>
      </c>
      <c r="M285" s="318">
        <f t="shared" si="89"/>
        <v>2.8822126309823679E-4</v>
      </c>
    </row>
    <row r="286" spans="2:13" s="109" customFormat="1" ht="18" x14ac:dyDescent="0.2">
      <c r="B286" s="114"/>
      <c r="C286" s="115"/>
      <c r="D286" s="115"/>
      <c r="E286" s="116"/>
      <c r="F286" s="117"/>
      <c r="G286" s="117"/>
      <c r="H286" s="117"/>
      <c r="I286" s="117"/>
      <c r="J286" s="117"/>
      <c r="K286" s="118"/>
      <c r="L286" s="119"/>
      <c r="M286" s="120">
        <f t="shared" si="89"/>
        <v>0</v>
      </c>
    </row>
    <row r="287" spans="2:13" s="109" customFormat="1" ht="25.5" customHeight="1" x14ac:dyDescent="0.2">
      <c r="B287" s="217" t="s">
        <v>677</v>
      </c>
      <c r="C287" s="218"/>
      <c r="D287" s="218"/>
      <c r="E287" s="311" t="s">
        <v>339</v>
      </c>
      <c r="F287" s="219"/>
      <c r="G287" s="220"/>
      <c r="H287" s="221"/>
      <c r="I287" s="221"/>
      <c r="J287" s="219"/>
      <c r="K287" s="219"/>
      <c r="L287" s="222">
        <f>SUBTOTAL(9,L288:L293)</f>
        <v>23864.680000000004</v>
      </c>
      <c r="M287" s="223">
        <f t="shared" si="89"/>
        <v>8.6424804654959976E-4</v>
      </c>
    </row>
    <row r="288" spans="2:13" s="313" customFormat="1" ht="54" x14ac:dyDescent="0.2">
      <c r="B288" s="314" t="s">
        <v>678</v>
      </c>
      <c r="C288" s="315" t="str">
        <f>VLOOKUP(D288,Fontes!$A$6:$H$11629,8,FALSE)</f>
        <v>Custo Mercado Reajustado</v>
      </c>
      <c r="D288" s="315" t="s">
        <v>1589</v>
      </c>
      <c r="E288" s="204" t="str">
        <f>VLOOKUP(D288,Fontes!$A$6:$H$11629,2,FALSE)</f>
        <v>Caixa de ligação em PVC rígido para eletroduto roscável, 4"x 2", de embutir na parede</v>
      </c>
      <c r="F288" s="203">
        <v>257</v>
      </c>
      <c r="G288" s="203" t="str">
        <f>VLOOKUP(D288,Fontes!$A$6:$L$11629,3,FALSE)</f>
        <v>un</v>
      </c>
      <c r="H288" s="203">
        <v>3.5309034000000001</v>
      </c>
      <c r="I288" s="203">
        <v>4.3705219044314054</v>
      </c>
      <c r="J288" s="203">
        <v>0</v>
      </c>
      <c r="K288" s="316">
        <f t="shared" ref="K288:K293" si="92">ROUND(+H288+I288+J288,2)</f>
        <v>7.9</v>
      </c>
      <c r="L288" s="317">
        <f t="shared" ref="L288:L293" si="93">ROUND(F288*K288,2)</f>
        <v>2030.3</v>
      </c>
      <c r="M288" s="318">
        <f t="shared" si="89"/>
        <v>7.3526349773374381E-5</v>
      </c>
    </row>
    <row r="289" spans="2:13" s="313" customFormat="1" ht="54" x14ac:dyDescent="0.2">
      <c r="B289" s="314" t="s">
        <v>679</v>
      </c>
      <c r="C289" s="315" t="str">
        <f>VLOOKUP(D289,Fontes!$A$6:$H$11629,8,FALSE)</f>
        <v>Custo Mercado Reajustado</v>
      </c>
      <c r="D289" s="315" t="s">
        <v>1590</v>
      </c>
      <c r="E289" s="204" t="str">
        <f>VLOOKUP(D289,Fontes!$A$6:$H$11629,2,FALSE)</f>
        <v>Caixa de ligação em PVC rígido para eletroduto roscável, 4"x 4", de embutir na parede</v>
      </c>
      <c r="F289" s="203">
        <v>7</v>
      </c>
      <c r="G289" s="203" t="str">
        <f>VLOOKUP(D289,Fontes!$A$6:$L$11629,3,FALSE)</f>
        <v>un</v>
      </c>
      <c r="H289" s="203">
        <v>6.057922500000001</v>
      </c>
      <c r="I289" s="203">
        <v>6.1187306662039687</v>
      </c>
      <c r="J289" s="203">
        <v>0</v>
      </c>
      <c r="K289" s="316">
        <f t="shared" si="92"/>
        <v>12.18</v>
      </c>
      <c r="L289" s="317">
        <f t="shared" si="93"/>
        <v>85.26</v>
      </c>
      <c r="M289" s="318">
        <f t="shared" si="89"/>
        <v>3.0876503874687974E-6</v>
      </c>
    </row>
    <row r="290" spans="2:13" s="313" customFormat="1" ht="54" x14ac:dyDescent="0.2">
      <c r="B290" s="314" t="s">
        <v>680</v>
      </c>
      <c r="C290" s="315" t="str">
        <f>VLOOKUP(D290,Fontes!$A$6:$H$11629,8,FALSE)</f>
        <v>Custo Mercado Reajustado</v>
      </c>
      <c r="D290" s="315" t="s">
        <v>1591</v>
      </c>
      <c r="E290" s="204" t="str">
        <f>VLOOKUP(D290,Fontes!$A$6:$H$11629,2,FALSE)</f>
        <v>Caixa de passagem em chapa de aço/alumínio com tampa aparafusada - dimensões 10x10x8cm</v>
      </c>
      <c r="F290" s="203">
        <v>35</v>
      </c>
      <c r="G290" s="203" t="str">
        <f>VLOOKUP(D290,Fontes!$A$6:$L$11629,3,FALSE)</f>
        <v>un</v>
      </c>
      <c r="H290" s="203">
        <v>32.039679</v>
      </c>
      <c r="I290" s="203">
        <v>60.085935142122963</v>
      </c>
      <c r="J290" s="203">
        <v>0</v>
      </c>
      <c r="K290" s="316">
        <f t="shared" si="92"/>
        <v>92.13</v>
      </c>
      <c r="L290" s="317">
        <f t="shared" si="93"/>
        <v>3224.55</v>
      </c>
      <c r="M290" s="318">
        <f t="shared" si="89"/>
        <v>1.1677554605808715E-4</v>
      </c>
    </row>
    <row r="291" spans="2:13" s="313" customFormat="1" ht="54" x14ac:dyDescent="0.2">
      <c r="B291" s="314" t="s">
        <v>681</v>
      </c>
      <c r="C291" s="315" t="str">
        <f>VLOOKUP(D291,Fontes!$A$6:$H$11629,8,FALSE)</f>
        <v>Custo Mercado Reajustado</v>
      </c>
      <c r="D291" s="315" t="s">
        <v>1592</v>
      </c>
      <c r="E291" s="204" t="str">
        <f>VLOOKUP(D291,Fontes!$A$6:$H$11629,2,FALSE)</f>
        <v>Caixa de passagem em chapa de aço/alumínio com tampa aparafusada - dimensões 15x15x10cm</v>
      </c>
      <c r="F291" s="203">
        <v>1</v>
      </c>
      <c r="G291" s="203" t="str">
        <f>VLOOKUP(D291,Fontes!$A$6:$L$11629,3,FALSE)</f>
        <v>un</v>
      </c>
      <c r="H291" s="203">
        <v>44.855550599999994</v>
      </c>
      <c r="I291" s="203">
        <v>90.959301875026426</v>
      </c>
      <c r="J291" s="203">
        <v>0</v>
      </c>
      <c r="K291" s="316">
        <f t="shared" si="92"/>
        <v>135.81</v>
      </c>
      <c r="L291" s="317">
        <f t="shared" si="93"/>
        <v>135.81</v>
      </c>
      <c r="M291" s="318">
        <f t="shared" si="89"/>
        <v>4.9182946178998051E-6</v>
      </c>
    </row>
    <row r="292" spans="2:13" s="313" customFormat="1" ht="54" x14ac:dyDescent="0.2">
      <c r="B292" s="314" t="s">
        <v>682</v>
      </c>
      <c r="C292" s="315" t="str">
        <f>VLOOKUP(D292,Fontes!$A$6:$H$11629,8,FALSE)</f>
        <v>SINAPI / RJ</v>
      </c>
      <c r="D292" s="315">
        <v>97889</v>
      </c>
      <c r="E292" s="204" t="str">
        <f>VLOOKUP(D292,Fontes!$A$6:$H$11629,2,FALSE)</f>
        <v>Caixa enterrada elétrica retangular, em alvenaria com tijolos cerâmicos maciços, fundo com brita, dimensões internas: 0,80 x 0,80 x0,60 m</v>
      </c>
      <c r="F292" s="203">
        <v>21</v>
      </c>
      <c r="G292" s="203" t="str">
        <f>VLOOKUP(D292,Fontes!$A$6:$L$11629,3,FALSE)</f>
        <v>un</v>
      </c>
      <c r="H292" s="203">
        <v>465.36520611071779</v>
      </c>
      <c r="I292" s="203">
        <v>389.87157340181687</v>
      </c>
      <c r="J292" s="203">
        <v>4.6332204874653486</v>
      </c>
      <c r="K292" s="316">
        <f t="shared" si="92"/>
        <v>859.87</v>
      </c>
      <c r="L292" s="317">
        <f t="shared" si="93"/>
        <v>18057.27</v>
      </c>
      <c r="M292" s="318">
        <f t="shared" si="89"/>
        <v>6.5393545287507264E-4</v>
      </c>
    </row>
    <row r="293" spans="2:13" s="313" customFormat="1" ht="54" x14ac:dyDescent="0.2">
      <c r="B293" s="314" t="s">
        <v>683</v>
      </c>
      <c r="C293" s="315" t="str">
        <f>VLOOKUP(D293,Fontes!$A$6:$H$11629,8,FALSE)</f>
        <v>SINAPI / RJ</v>
      </c>
      <c r="D293" s="315">
        <v>97887</v>
      </c>
      <c r="E293" s="204" t="str">
        <f>VLOOKUP(D293,Fontes!$A$6:$H$11629,2,FALSE)</f>
        <v>Caixa enterrada elétrica retangular, em alvenaria com tijolos cerâmicos maciços, fundo com brita, dimensões internas: 0,40 x0,40 x0,40  m</v>
      </c>
      <c r="F293" s="203">
        <v>1</v>
      </c>
      <c r="G293" s="203" t="str">
        <f>VLOOKUP(D293,Fontes!$A$6:$L$11629,3,FALSE)</f>
        <v>un</v>
      </c>
      <c r="H293" s="203">
        <v>175.32444503138404</v>
      </c>
      <c r="I293" s="203">
        <v>155.56812721397054</v>
      </c>
      <c r="J293" s="203">
        <v>0.59742775464545395</v>
      </c>
      <c r="K293" s="316">
        <f t="shared" si="92"/>
        <v>331.49</v>
      </c>
      <c r="L293" s="317">
        <f t="shared" si="93"/>
        <v>331.49</v>
      </c>
      <c r="M293" s="318">
        <f t="shared" si="89"/>
        <v>1.2004752837696829E-5</v>
      </c>
    </row>
    <row r="294" spans="2:13" s="109" customFormat="1" ht="18" x14ac:dyDescent="0.2">
      <c r="B294" s="114"/>
      <c r="C294" s="115"/>
      <c r="D294" s="315"/>
      <c r="E294" s="116"/>
      <c r="F294" s="117"/>
      <c r="G294" s="117"/>
      <c r="H294" s="117"/>
      <c r="I294" s="117"/>
      <c r="J294" s="117"/>
      <c r="K294" s="118"/>
      <c r="L294" s="119"/>
      <c r="M294" s="120">
        <f t="shared" si="89"/>
        <v>0</v>
      </c>
    </row>
    <row r="295" spans="2:13" s="109" customFormat="1" ht="25.5" customHeight="1" x14ac:dyDescent="0.2">
      <c r="B295" s="217" t="s">
        <v>684</v>
      </c>
      <c r="C295" s="218"/>
      <c r="D295" s="218"/>
      <c r="E295" s="311" t="s">
        <v>2231</v>
      </c>
      <c r="F295" s="219"/>
      <c r="G295" s="220"/>
      <c r="H295" s="221"/>
      <c r="I295" s="221"/>
      <c r="J295" s="219"/>
      <c r="K295" s="219"/>
      <c r="L295" s="222">
        <f>SUBTOTAL(9,L296:L304)</f>
        <v>106147.23999999999</v>
      </c>
      <c r="M295" s="223">
        <f t="shared" si="89"/>
        <v>3.8440718591923927E-3</v>
      </c>
    </row>
    <row r="296" spans="2:13" s="313" customFormat="1" ht="54" x14ac:dyDescent="0.2">
      <c r="B296" s="314" t="s">
        <v>685</v>
      </c>
      <c r="C296" s="315" t="str">
        <f>VLOOKUP(D296,Fontes!$A$6:$H$11629,8,FALSE)</f>
        <v>Custo Mercado Reajustado</v>
      </c>
      <c r="D296" s="315" t="s">
        <v>1595</v>
      </c>
      <c r="E296" s="204" t="str">
        <f>VLOOKUP(D296,Fontes!$A$6:$H$11629,2,FALSE)</f>
        <v>Tomada novo padrão brasileiro, de embutir, (2 P + T), 20A/240V,pino cilindrico 4 mm</v>
      </c>
      <c r="F296" s="203">
        <v>75</v>
      </c>
      <c r="G296" s="203" t="str">
        <f>VLOOKUP(D296,Fontes!$A$6:$L$11629,3,FALSE)</f>
        <v>un</v>
      </c>
      <c r="H296" s="203">
        <v>11.137602700000002</v>
      </c>
      <c r="I296" s="203">
        <v>28.847249999999999</v>
      </c>
      <c r="J296" s="203">
        <v>0</v>
      </c>
      <c r="K296" s="316">
        <f t="shared" ref="K296:K299" si="94">ROUND(+H296+I296+J296,2)</f>
        <v>39.979999999999997</v>
      </c>
      <c r="L296" s="317">
        <f t="shared" ref="L296:L299" si="95">ROUND(F296*K296,2)</f>
        <v>2998.5</v>
      </c>
      <c r="M296" s="318">
        <f t="shared" si="89"/>
        <v>1.0858925271903811E-4</v>
      </c>
    </row>
    <row r="297" spans="2:13" s="313" customFormat="1" ht="54" x14ac:dyDescent="0.2">
      <c r="B297" s="314" t="s">
        <v>686</v>
      </c>
      <c r="C297" s="315" t="str">
        <f>VLOOKUP(D297,Fontes!$A$6:$H$11629,8,FALSE)</f>
        <v>Custo Mercado Reajustado</v>
      </c>
      <c r="D297" s="315" t="s">
        <v>1596</v>
      </c>
      <c r="E297" s="204" t="str">
        <f>VLOOKUP(D297,Fontes!$A$6:$H$11629,2,FALSE)</f>
        <v>Tomada novo padrão brasileiro, de embutir, (2 P + T), 10A/240V,pino cilindrico 4 mm</v>
      </c>
      <c r="F297" s="203">
        <v>546</v>
      </c>
      <c r="G297" s="203" t="str">
        <f>VLOOKUP(D297,Fontes!$A$6:$L$11629,3,FALSE)</f>
        <v>un</v>
      </c>
      <c r="H297" s="203">
        <v>13.012032899999999</v>
      </c>
      <c r="I297" s="203">
        <v>28.847249999999999</v>
      </c>
      <c r="J297" s="203">
        <v>0</v>
      </c>
      <c r="K297" s="316">
        <f t="shared" si="94"/>
        <v>41.86</v>
      </c>
      <c r="L297" s="317">
        <f t="shared" si="95"/>
        <v>22855.56</v>
      </c>
      <c r="M297" s="318">
        <f t="shared" si="89"/>
        <v>8.277032452476701E-4</v>
      </c>
    </row>
    <row r="298" spans="2:13" s="313" customFormat="1" ht="54" x14ac:dyDescent="0.2">
      <c r="B298" s="314" t="s">
        <v>687</v>
      </c>
      <c r="C298" s="315" t="str">
        <f>VLOOKUP(D298,Fontes!$A$6:$H$11629,8,FALSE)</f>
        <v>Custo Mercado Reajustado</v>
      </c>
      <c r="D298" s="315" t="s">
        <v>1597</v>
      </c>
      <c r="E298" s="204" t="str">
        <f>VLOOKUP(D298,Fontes!$A$6:$H$11629,2,FALSE)</f>
        <v>Tomada novo padrão brasileiro, de embutir, (2 P + T), 20A/240V,pino cilindrico 4 mm, cor vermelha para rede estabilizada</v>
      </c>
      <c r="F298" s="203">
        <v>12</v>
      </c>
      <c r="G298" s="203" t="str">
        <f>VLOOKUP(D298,Fontes!$A$6:$L$11629,3,FALSE)</f>
        <v>un</v>
      </c>
      <c r="H298" s="203">
        <v>13.012032899999999</v>
      </c>
      <c r="I298" s="203">
        <v>28.847249999999999</v>
      </c>
      <c r="J298" s="203">
        <v>0</v>
      </c>
      <c r="K298" s="316">
        <f t="shared" si="94"/>
        <v>41.86</v>
      </c>
      <c r="L298" s="317">
        <f t="shared" si="95"/>
        <v>502.32</v>
      </c>
      <c r="M298" s="318">
        <f t="shared" si="89"/>
        <v>1.8191280115333407E-5</v>
      </c>
    </row>
    <row r="299" spans="2:13" s="313" customFormat="1" ht="54" x14ac:dyDescent="0.2">
      <c r="B299" s="314" t="s">
        <v>688</v>
      </c>
      <c r="C299" s="315" t="str">
        <f>VLOOKUP(D299,Fontes!$A$6:$H$11629,8,FALSE)</f>
        <v>Custo Mercado Reajustado</v>
      </c>
      <c r="D299" s="315" t="s">
        <v>1598</v>
      </c>
      <c r="E299" s="204" t="str">
        <f>VLOOKUP(D299,Fontes!$A$6:$H$11629,2,FALSE)</f>
        <v>Interruptor bipolar simples 10A/250V, 1 tecla</v>
      </c>
      <c r="F299" s="203">
        <v>75</v>
      </c>
      <c r="G299" s="203" t="str">
        <f>VLOOKUP(D299,Fontes!$A$6:$L$11629,3,FALSE)</f>
        <v>un</v>
      </c>
      <c r="H299" s="203">
        <v>38.927120199999997</v>
      </c>
      <c r="I299" s="203">
        <v>28.847249999999999</v>
      </c>
      <c r="J299" s="203">
        <v>0</v>
      </c>
      <c r="K299" s="316">
        <f t="shared" si="94"/>
        <v>67.77</v>
      </c>
      <c r="L299" s="317">
        <f t="shared" si="95"/>
        <v>5082.75</v>
      </c>
      <c r="M299" s="318">
        <f t="shared" si="89"/>
        <v>1.8406937610728396E-4</v>
      </c>
    </row>
    <row r="300" spans="2:13" s="313" customFormat="1" ht="54" x14ac:dyDescent="0.2">
      <c r="B300" s="314" t="s">
        <v>2028</v>
      </c>
      <c r="C300" s="315" t="str">
        <f>VLOOKUP(D300,Fontes!$A$6:$H$11629,8,FALSE)</f>
        <v>Custo Mercado Reajustado</v>
      </c>
      <c r="D300" s="315" t="s">
        <v>1599</v>
      </c>
      <c r="E300" s="204" t="str">
        <f>VLOOKUP(D300,Fontes!$A$6:$H$11629,2,FALSE)</f>
        <v>Interruptor bipolar paralelo 10A/250V, 1 tecla</v>
      </c>
      <c r="F300" s="203">
        <v>51</v>
      </c>
      <c r="G300" s="203" t="str">
        <f>VLOOKUP(D300,Fontes!$A$6:$L$11629,3,FALSE)</f>
        <v>un</v>
      </c>
      <c r="H300" s="203">
        <v>40.518206299999996</v>
      </c>
      <c r="I300" s="203">
        <v>28.847249999999999</v>
      </c>
      <c r="J300" s="203">
        <v>0</v>
      </c>
      <c r="K300" s="316">
        <f t="shared" ref="K300:K304" si="96">ROUND(+H300+I300+J300,2)</f>
        <v>69.37</v>
      </c>
      <c r="L300" s="317">
        <f t="shared" ref="L300:L304" si="97">ROUND(F300*K300,2)</f>
        <v>3537.87</v>
      </c>
      <c r="M300" s="318">
        <f t="shared" si="89"/>
        <v>1.281222809795242E-4</v>
      </c>
    </row>
    <row r="301" spans="2:13" s="313" customFormat="1" ht="54" x14ac:dyDescent="0.2">
      <c r="B301" s="314" t="s">
        <v>2029</v>
      </c>
      <c r="C301" s="315" t="str">
        <f>VLOOKUP(D301,Fontes!$A$6:$H$11629,8,FALSE)</f>
        <v>Custo Mercado Reajustado</v>
      </c>
      <c r="D301" s="315" t="s">
        <v>1600</v>
      </c>
      <c r="E301" s="204" t="str">
        <f>VLOOKUP(D301,Fontes!$A$6:$H$11629,2,FALSE)</f>
        <v>Interruptor bipolar intermediário 10A/250V, 1 tecla</v>
      </c>
      <c r="F301" s="203">
        <v>7</v>
      </c>
      <c r="G301" s="203" t="str">
        <f>VLOOKUP(D301,Fontes!$A$6:$L$11629,3,FALSE)</f>
        <v>un</v>
      </c>
      <c r="H301" s="203">
        <v>31.2550338</v>
      </c>
      <c r="I301" s="203">
        <v>28.847249999999999</v>
      </c>
      <c r="J301" s="203">
        <v>0</v>
      </c>
      <c r="K301" s="316">
        <f t="shared" si="96"/>
        <v>60.1</v>
      </c>
      <c r="L301" s="317">
        <f t="shared" si="97"/>
        <v>420.7</v>
      </c>
      <c r="M301" s="318">
        <f t="shared" si="89"/>
        <v>1.5235450598265576E-5</v>
      </c>
    </row>
    <row r="302" spans="2:13" s="313" customFormat="1" ht="54" x14ac:dyDescent="0.2">
      <c r="B302" s="314" t="s">
        <v>2030</v>
      </c>
      <c r="C302" s="315" t="str">
        <f>VLOOKUP(D302,Fontes!$A$6:$H$11629,8,FALSE)</f>
        <v>Custo Mercado Reajustado</v>
      </c>
      <c r="D302" s="315" t="s">
        <v>1601</v>
      </c>
      <c r="E302" s="204" t="str">
        <f>VLOOKUP(D302,Fontes!$A$6:$H$11629,2,FALSE)</f>
        <v>Plugue macho e fêmea (2 P + T), 10A/250V</v>
      </c>
      <c r="F302" s="203">
        <v>475</v>
      </c>
      <c r="G302" s="203" t="str">
        <f>VLOOKUP(D302,Fontes!$A$6:$L$11629,3,FALSE)</f>
        <v>un</v>
      </c>
      <c r="H302" s="203">
        <v>10.505527400000002</v>
      </c>
      <c r="I302" s="203">
        <v>21.642824470744323</v>
      </c>
      <c r="J302" s="203">
        <v>0</v>
      </c>
      <c r="K302" s="316">
        <f t="shared" si="96"/>
        <v>32.15</v>
      </c>
      <c r="L302" s="317">
        <f t="shared" si="97"/>
        <v>15271.25</v>
      </c>
      <c r="M302" s="318">
        <f t="shared" si="89"/>
        <v>5.5304106239306673E-4</v>
      </c>
    </row>
    <row r="303" spans="2:13" s="313" customFormat="1" ht="54" x14ac:dyDescent="0.2">
      <c r="B303" s="314" t="s">
        <v>2031</v>
      </c>
      <c r="C303" s="315" t="str">
        <f>VLOOKUP(D303,Fontes!$A$6:$H$11629,8,FALSE)</f>
        <v>Custo Mercado Reajustado</v>
      </c>
      <c r="D303" s="315" t="s">
        <v>1602</v>
      </c>
      <c r="E303" s="204" t="str">
        <f>VLOOKUP(D303,Fontes!$A$6:$H$11629,2,FALSE)</f>
        <v>Caixa perfilado aparafusada pré galvanizada com 1 tomada 2P+T padrão brasileiro</v>
      </c>
      <c r="F303" s="203">
        <v>35</v>
      </c>
      <c r="G303" s="203" t="str">
        <f>VLOOKUP(D303,Fontes!$A$6:$L$11629,3,FALSE)</f>
        <v>un</v>
      </c>
      <c r="H303" s="203">
        <v>11.2683769</v>
      </c>
      <c r="I303" s="203">
        <v>21.677788645979778</v>
      </c>
      <c r="J303" s="203">
        <v>0</v>
      </c>
      <c r="K303" s="316">
        <f t="shared" si="96"/>
        <v>32.950000000000003</v>
      </c>
      <c r="L303" s="317">
        <f t="shared" si="97"/>
        <v>1153.25</v>
      </c>
      <c r="M303" s="318">
        <f t="shared" si="89"/>
        <v>4.1764400766460127E-5</v>
      </c>
    </row>
    <row r="304" spans="2:13" s="313" customFormat="1" ht="72" x14ac:dyDescent="0.2">
      <c r="B304" s="314" t="s">
        <v>2032</v>
      </c>
      <c r="C304" s="315" t="str">
        <f>VLOOKUP(D304,Fontes!$A$6:$H$11629,8,FALSE)</f>
        <v>Custo Mercado Reajustado</v>
      </c>
      <c r="D304" s="315" t="s">
        <v>1603</v>
      </c>
      <c r="E304" s="204" t="str">
        <f>VLOOKUP(D304,Fontes!$A$6:$H$11629,2,FALSE)</f>
        <v>Caixa para piso elevado com corpo em chapa de aço carbono bi-cromatizado, com caixilho e tampa basculante em alumínio fundido, dotada de supoetes para tomadas de energia e para voz e dados e furações para entrada de eletrodutos flexíveis</v>
      </c>
      <c r="F304" s="203">
        <v>88</v>
      </c>
      <c r="G304" s="203" t="str">
        <f>VLOOKUP(D304,Fontes!$A$6:$L$11629,3,FALSE)</f>
        <v>un</v>
      </c>
      <c r="H304" s="203">
        <v>328.85865000000001</v>
      </c>
      <c r="I304" s="203">
        <v>288.47250000000003</v>
      </c>
      <c r="J304" s="203">
        <v>0</v>
      </c>
      <c r="K304" s="316">
        <f t="shared" si="96"/>
        <v>617.33000000000004</v>
      </c>
      <c r="L304" s="317">
        <f t="shared" si="97"/>
        <v>54325.04</v>
      </c>
      <c r="M304" s="318">
        <f t="shared" si="89"/>
        <v>1.9673555102657507E-3</v>
      </c>
    </row>
    <row r="305" spans="2:13" s="109" customFormat="1" ht="18" x14ac:dyDescent="0.2">
      <c r="B305" s="114"/>
      <c r="C305" s="115"/>
      <c r="D305" s="115"/>
      <c r="E305" s="116"/>
      <c r="F305" s="117"/>
      <c r="G305" s="117"/>
      <c r="H305" s="117"/>
      <c r="I305" s="117"/>
      <c r="J305" s="117"/>
      <c r="K305" s="118"/>
      <c r="L305" s="119"/>
      <c r="M305" s="120">
        <f t="shared" si="89"/>
        <v>0</v>
      </c>
    </row>
    <row r="306" spans="2:13" s="109" customFormat="1" ht="25.5" customHeight="1" x14ac:dyDescent="0.2">
      <c r="B306" s="217" t="s">
        <v>689</v>
      </c>
      <c r="C306" s="218"/>
      <c r="D306" s="218"/>
      <c r="E306" s="311" t="s">
        <v>1784</v>
      </c>
      <c r="F306" s="219"/>
      <c r="G306" s="220"/>
      <c r="H306" s="221"/>
      <c r="I306" s="221"/>
      <c r="J306" s="219"/>
      <c r="K306" s="219"/>
      <c r="L306" s="222">
        <f>SUBTOTAL(9,L307:L310)</f>
        <v>300995.49</v>
      </c>
      <c r="M306" s="223">
        <f t="shared" si="89"/>
        <v>1.0900408647957547E-2</v>
      </c>
    </row>
    <row r="307" spans="2:13" s="313" customFormat="1" ht="54" x14ac:dyDescent="0.2">
      <c r="B307" s="314" t="s">
        <v>690</v>
      </c>
      <c r="C307" s="315" t="str">
        <f>VLOOKUP(D307,Fontes!$A$6:$H$11629,8,FALSE)</f>
        <v>Custo Mercado Reajustado</v>
      </c>
      <c r="D307" s="315" t="s">
        <v>1604</v>
      </c>
      <c r="E307" s="204" t="str">
        <f>VLOOKUP(D307,Fontes!$A$6:$H$11629,2,FALSE)</f>
        <v>Eletrocalha lisa com tampa, em aço galvanizado, dimensões 100x100mm, inclusive curvas e conexões</v>
      </c>
      <c r="F307" s="203">
        <v>275</v>
      </c>
      <c r="G307" s="203" t="str">
        <f>VLOOKUP(D307,Fontes!$A$6:$L$11629,3,FALSE)</f>
        <v>m</v>
      </c>
      <c r="H307" s="203">
        <v>538.28968500000008</v>
      </c>
      <c r="I307" s="203">
        <v>96.157499999999999</v>
      </c>
      <c r="J307" s="203">
        <v>0</v>
      </c>
      <c r="K307" s="316">
        <f t="shared" ref="K307:K310" si="98">ROUND(+H307+I307+J307,2)</f>
        <v>634.45000000000005</v>
      </c>
      <c r="L307" s="317">
        <f t="shared" ref="L307:L310" si="99">ROUND(F307*K307,2)</f>
        <v>174473.75</v>
      </c>
      <c r="M307" s="318">
        <f t="shared" si="89"/>
        <v>6.3184839525056782E-3</v>
      </c>
    </row>
    <row r="308" spans="2:13" s="313" customFormat="1" ht="54" x14ac:dyDescent="0.2">
      <c r="B308" s="314" t="s">
        <v>691</v>
      </c>
      <c r="C308" s="315" t="str">
        <f>VLOOKUP(D308,Fontes!$A$6:$H$11629,8,FALSE)</f>
        <v>Custo Mercado Reajustado</v>
      </c>
      <c r="D308" s="315" t="s">
        <v>1605</v>
      </c>
      <c r="E308" s="204" t="str">
        <f>VLOOKUP(D308,Fontes!$A$6:$H$11629,2,FALSE)</f>
        <v>Eletrocalha lisa com tampa e septo, em aço galvanizado, dimensões 200x100mm, inclusive curvas e conexões</v>
      </c>
      <c r="F308" s="203">
        <v>94</v>
      </c>
      <c r="G308" s="203" t="str">
        <f>VLOOKUP(D308,Fontes!$A$6:$L$11629,3,FALSE)</f>
        <v>m</v>
      </c>
      <c r="H308" s="203">
        <v>632.07529999999997</v>
      </c>
      <c r="I308" s="203">
        <v>96.157499999999999</v>
      </c>
      <c r="J308" s="203">
        <v>0</v>
      </c>
      <c r="K308" s="316">
        <f t="shared" si="98"/>
        <v>728.23</v>
      </c>
      <c r="L308" s="317">
        <f t="shared" si="99"/>
        <v>68453.62</v>
      </c>
      <c r="M308" s="318">
        <f t="shared" si="89"/>
        <v>2.4790153215651163E-3</v>
      </c>
    </row>
    <row r="309" spans="2:13" s="313" customFormat="1" ht="54" x14ac:dyDescent="0.2">
      <c r="B309" s="314" t="s">
        <v>692</v>
      </c>
      <c r="C309" s="315" t="str">
        <f>VLOOKUP(D309,Fontes!$A$6:$H$11629,8,FALSE)</f>
        <v>Custo Mercado Reajustado</v>
      </c>
      <c r="D309" s="315" t="s">
        <v>1606</v>
      </c>
      <c r="E309" s="204" t="str">
        <f>VLOOKUP(D309,Fontes!$A$6:$H$11629,2,FALSE)</f>
        <v>Eletrocalha lisa com tampa e septo, em aço galvanizado, dimensões 300x100mm, inclusive curvas e conexões</v>
      </c>
      <c r="F309" s="203">
        <v>55</v>
      </c>
      <c r="G309" s="203" t="str">
        <f>VLOOKUP(D309,Fontes!$A$6:$L$11629,3,FALSE)</f>
        <v>m</v>
      </c>
      <c r="H309" s="203">
        <v>697.4624</v>
      </c>
      <c r="I309" s="203">
        <v>96.157499999999999</v>
      </c>
      <c r="J309" s="203">
        <v>0</v>
      </c>
      <c r="K309" s="316">
        <f t="shared" si="98"/>
        <v>793.62</v>
      </c>
      <c r="L309" s="317">
        <f t="shared" si="99"/>
        <v>43649.1</v>
      </c>
      <c r="M309" s="318">
        <f t="shared" si="89"/>
        <v>1.5807314159941859E-3</v>
      </c>
    </row>
    <row r="310" spans="2:13" s="313" customFormat="1" ht="54" x14ac:dyDescent="0.2">
      <c r="B310" s="314" t="s">
        <v>693</v>
      </c>
      <c r="C310" s="315" t="str">
        <f>VLOOKUP(D310,Fontes!$A$6:$H$11629,8,FALSE)</f>
        <v>Custo Mercado Reajustado</v>
      </c>
      <c r="D310" s="315" t="s">
        <v>1607</v>
      </c>
      <c r="E310" s="204" t="str">
        <f>VLOOKUP(D310,Fontes!$A$6:$H$11629,2,FALSE)</f>
        <v>Perfilado liso em aço galvanizado eletrolítico, tipo reforçado, dimensões 38x38mm</v>
      </c>
      <c r="F310" s="203">
        <v>66</v>
      </c>
      <c r="G310" s="203" t="str">
        <f>VLOOKUP(D310,Fontes!$A$6:$L$11629,3,FALSE)</f>
        <v>m</v>
      </c>
      <c r="H310" s="203">
        <v>122.31234000000001</v>
      </c>
      <c r="I310" s="203">
        <v>96.157499999999999</v>
      </c>
      <c r="J310" s="203">
        <v>0</v>
      </c>
      <c r="K310" s="316">
        <f t="shared" si="98"/>
        <v>218.47</v>
      </c>
      <c r="L310" s="317">
        <f t="shared" si="99"/>
        <v>14419.02</v>
      </c>
      <c r="M310" s="318">
        <f t="shared" si="89"/>
        <v>5.2217795789256786E-4</v>
      </c>
    </row>
    <row r="311" spans="2:13" s="109" customFormat="1" ht="18" x14ac:dyDescent="0.2">
      <c r="B311" s="114"/>
      <c r="C311" s="115"/>
      <c r="D311" s="115"/>
      <c r="E311" s="116"/>
      <c r="F311" s="117"/>
      <c r="G311" s="117"/>
      <c r="H311" s="117"/>
      <c r="I311" s="117"/>
      <c r="J311" s="117"/>
      <c r="K311" s="118"/>
      <c r="L311" s="119"/>
      <c r="M311" s="120">
        <f t="shared" si="89"/>
        <v>0</v>
      </c>
    </row>
    <row r="312" spans="2:13" s="109" customFormat="1" ht="25.5" customHeight="1" x14ac:dyDescent="0.2">
      <c r="B312" s="217" t="s">
        <v>694</v>
      </c>
      <c r="C312" s="218"/>
      <c r="D312" s="218"/>
      <c r="E312" s="311" t="s">
        <v>359</v>
      </c>
      <c r="F312" s="219"/>
      <c r="G312" s="220"/>
      <c r="H312" s="221"/>
      <c r="I312" s="221"/>
      <c r="J312" s="219"/>
      <c r="K312" s="219"/>
      <c r="L312" s="222">
        <f>SUBTOTAL(9,L313:L335)</f>
        <v>286345.15999999997</v>
      </c>
      <c r="M312" s="223">
        <f t="shared" si="89"/>
        <v>1.0369853908325295E-2</v>
      </c>
    </row>
    <row r="313" spans="2:13" s="313" customFormat="1" ht="54" x14ac:dyDescent="0.2">
      <c r="B313" s="314" t="s">
        <v>695</v>
      </c>
      <c r="C313" s="315" t="str">
        <f>VLOOKUP(D313,Fontes!$A$6:$H$11629,8,FALSE)</f>
        <v>Custo Mercado Reajustado</v>
      </c>
      <c r="D313" s="315" t="s">
        <v>1608</v>
      </c>
      <c r="E313" s="204" t="str">
        <f>VLOOKUP(D313,Fontes!$A$6:$H$11629,2,FALSE)</f>
        <v>Luminaria embutir, tubo led, pot. 4x9w - 6500k, com aletas parabolicas, difusor translucido, refletor de aluminio anodizado, dim.: 618x618mm</v>
      </c>
      <c r="F313" s="203">
        <v>174</v>
      </c>
      <c r="G313" s="203" t="str">
        <f>VLOOKUP(D313,Fontes!$A$6:$L$11629,3,FALSE)</f>
        <v>un</v>
      </c>
      <c r="H313" s="203">
        <v>488.22368</v>
      </c>
      <c r="I313" s="203">
        <v>68.439501779359432</v>
      </c>
      <c r="J313" s="203">
        <v>0</v>
      </c>
      <c r="K313" s="316">
        <f t="shared" ref="K313:K335" si="100">ROUND(+H313+I313+J313,2)</f>
        <v>556.66</v>
      </c>
      <c r="L313" s="317">
        <f t="shared" ref="L313:L335" si="101">ROUND(F313*K313,2)</f>
        <v>96858.84</v>
      </c>
      <c r="M313" s="318">
        <f t="shared" si="89"/>
        <v>3.507696866710981E-3</v>
      </c>
    </row>
    <row r="314" spans="2:13" s="313" customFormat="1" ht="54" x14ac:dyDescent="0.2">
      <c r="B314" s="314" t="s">
        <v>696</v>
      </c>
      <c r="C314" s="315" t="str">
        <f>VLOOKUP(D314,Fontes!$A$6:$H$11629,8,FALSE)</f>
        <v>Custo Mercado Reajustado</v>
      </c>
      <c r="D314" s="315" t="s">
        <v>1609</v>
      </c>
      <c r="E314" s="204" t="str">
        <f>VLOOKUP(D314,Fontes!$A$6:$H$11629,2,FALSE)</f>
        <v>Luminaria embutir, tubo led, pot. 4x9w - 6500k, sem aletas, difusor translucido, refletor de aluminio anodizado, dim.: 618x618mm</v>
      </c>
      <c r="F314" s="203">
        <v>11</v>
      </c>
      <c r="G314" s="203" t="str">
        <f>VLOOKUP(D314,Fontes!$A$6:$L$11629,3,FALSE)</f>
        <v>un</v>
      </c>
      <c r="H314" s="203">
        <v>488.22368</v>
      </c>
      <c r="I314" s="203">
        <v>68.439501779359432</v>
      </c>
      <c r="J314" s="203">
        <v>0</v>
      </c>
      <c r="K314" s="316">
        <f t="shared" si="100"/>
        <v>556.66</v>
      </c>
      <c r="L314" s="317">
        <f t="shared" si="101"/>
        <v>6123.26</v>
      </c>
      <c r="M314" s="318">
        <f t="shared" si="89"/>
        <v>2.2175095134379765E-4</v>
      </c>
    </row>
    <row r="315" spans="2:13" s="313" customFormat="1" ht="54" x14ac:dyDescent="0.2">
      <c r="B315" s="314" t="s">
        <v>697</v>
      </c>
      <c r="C315" s="315" t="str">
        <f>VLOOKUP(D315,Fontes!$A$6:$H$11629,8,FALSE)</f>
        <v>Custo Mercado Reajustado</v>
      </c>
      <c r="D315" s="315" t="s">
        <v>1610</v>
      </c>
      <c r="E315" s="204" t="str">
        <f>VLOOKUP(D315,Fontes!$A$6:$H$11629,2,FALSE)</f>
        <v>Luminaria de embutir redonda com lâmpada led, pot. 1x7w - 6500k  aro e aba de alumínio injetado com acabamento em pintura na cor branca</v>
      </c>
      <c r="F315" s="203">
        <v>18</v>
      </c>
      <c r="G315" s="203" t="str">
        <f>VLOOKUP(D315,Fontes!$A$6:$L$11629,3,FALSE)</f>
        <v>un</v>
      </c>
      <c r="H315" s="203">
        <v>87.1828</v>
      </c>
      <c r="I315" s="203">
        <v>68.439501779359432</v>
      </c>
      <c r="J315" s="203">
        <v>0</v>
      </c>
      <c r="K315" s="316">
        <f t="shared" si="100"/>
        <v>155.62</v>
      </c>
      <c r="L315" s="317">
        <f t="shared" si="101"/>
        <v>2801.16</v>
      </c>
      <c r="M315" s="318">
        <f t="shared" si="89"/>
        <v>1.0144267838801426E-4</v>
      </c>
    </row>
    <row r="316" spans="2:13" s="313" customFormat="1" ht="54" x14ac:dyDescent="0.2">
      <c r="B316" s="314" t="s">
        <v>698</v>
      </c>
      <c r="C316" s="315" t="str">
        <f>VLOOKUP(D316,Fontes!$A$6:$H$11629,8,FALSE)</f>
        <v>Custo Mercado Reajustado</v>
      </c>
      <c r="D316" s="315" t="s">
        <v>1689</v>
      </c>
      <c r="E316" s="204" t="str">
        <f>VLOOKUP(D316,Fontes!$A$6:$H$11629,2,FALSE)</f>
        <v>Luminaria embutir tubo led 2x19w 6500k aletas parabolicas difusor translucido e refletor de aluminio anodizado, dim.: 244x618mm</v>
      </c>
      <c r="F316" s="203">
        <v>6</v>
      </c>
      <c r="G316" s="203" t="str">
        <f>VLOOKUP(D316,Fontes!$A$6:$L$11629,3,FALSE)</f>
        <v>un</v>
      </c>
      <c r="H316" s="203">
        <v>370.52690000000001</v>
      </c>
      <c r="I316" s="203">
        <v>68.439501779359432</v>
      </c>
      <c r="J316" s="203">
        <v>0</v>
      </c>
      <c r="K316" s="316">
        <f t="shared" si="100"/>
        <v>438.97</v>
      </c>
      <c r="L316" s="317">
        <f t="shared" si="101"/>
        <v>2633.82</v>
      </c>
      <c r="M316" s="318">
        <f t="shared" si="89"/>
        <v>9.5382539802053347E-5</v>
      </c>
    </row>
    <row r="317" spans="2:13" s="313" customFormat="1" ht="54" x14ac:dyDescent="0.2">
      <c r="B317" s="314" t="s">
        <v>699</v>
      </c>
      <c r="C317" s="315" t="str">
        <f>VLOOKUP(D317,Fontes!$A$6:$H$11629,8,FALSE)</f>
        <v>Custo Mercado Reajustado</v>
      </c>
      <c r="D317" s="315" t="s">
        <v>1690</v>
      </c>
      <c r="E317" s="204" t="str">
        <f>VLOOKUP(D317,Fontes!$A$6:$H$11629,2,FALSE)</f>
        <v>Luminária embutir, redonda, led 9w - 6500k, corpo de aluminio e difusor de policarbonato</v>
      </c>
      <c r="F317" s="203">
        <v>53</v>
      </c>
      <c r="G317" s="203" t="str">
        <f>VLOOKUP(D317,Fontes!$A$6:$L$11629,3,FALSE)</f>
        <v>un</v>
      </c>
      <c r="H317" s="203">
        <v>108.9785</v>
      </c>
      <c r="I317" s="203">
        <v>68.439501779359432</v>
      </c>
      <c r="J317" s="203">
        <v>0</v>
      </c>
      <c r="K317" s="316">
        <f t="shared" si="100"/>
        <v>177.42</v>
      </c>
      <c r="L317" s="317">
        <f t="shared" si="101"/>
        <v>9403.26</v>
      </c>
      <c r="M317" s="318">
        <f t="shared" si="89"/>
        <v>3.4053459280400942E-4</v>
      </c>
    </row>
    <row r="318" spans="2:13" s="313" customFormat="1" ht="54" x14ac:dyDescent="0.2">
      <c r="B318" s="314" t="s">
        <v>700</v>
      </c>
      <c r="C318" s="315" t="str">
        <f>VLOOKUP(D318,Fontes!$A$6:$H$11629,8,FALSE)</f>
        <v>Custo Mercado Reajustado</v>
      </c>
      <c r="D318" s="315" t="s">
        <v>1691</v>
      </c>
      <c r="E318" s="204" t="str">
        <f>VLOOKUP(D318,Fontes!$A$6:$H$11629,2,FALSE)</f>
        <v>Luminária de embutir, redonda, com led 18w - 6500k, corpo aluminio e difusor de policarbonato</v>
      </c>
      <c r="F318" s="203">
        <v>17</v>
      </c>
      <c r="G318" s="203" t="str">
        <f>VLOOKUP(D318,Fontes!$A$6:$L$11629,3,FALSE)</f>
        <v>un</v>
      </c>
      <c r="H318" s="203">
        <v>141.67205000000001</v>
      </c>
      <c r="I318" s="203">
        <v>68.439501779359432</v>
      </c>
      <c r="J318" s="203">
        <v>0</v>
      </c>
      <c r="K318" s="316">
        <f t="shared" si="100"/>
        <v>210.11</v>
      </c>
      <c r="L318" s="317">
        <f t="shared" si="101"/>
        <v>3571.87</v>
      </c>
      <c r="M318" s="318">
        <f t="shared" si="89"/>
        <v>1.2935357482392885E-4</v>
      </c>
    </row>
    <row r="319" spans="2:13" s="313" customFormat="1" ht="54" x14ac:dyDescent="0.2">
      <c r="B319" s="314" t="s">
        <v>701</v>
      </c>
      <c r="C319" s="315" t="str">
        <f>VLOOKUP(D319,Fontes!$A$6:$H$11629,8,FALSE)</f>
        <v>Custo Mercado Reajustado</v>
      </c>
      <c r="D319" s="315" t="s">
        <v>1692</v>
      </c>
      <c r="E319" s="204" t="str">
        <f>VLOOKUP(D319,Fontes!$A$6:$H$11629,2,FALSE)</f>
        <v>Luminária de embutir, tipo linear com led pot. 35w,  6500k refletor em chapa de aço com pintura cor  branca e difusor acrílico leitoso extrundado, dim.  67x2237mm</v>
      </c>
      <c r="F319" s="203">
        <v>45</v>
      </c>
      <c r="G319" s="203" t="str">
        <f>VLOOKUP(D319,Fontes!$A$6:$L$11629,3,FALSE)</f>
        <v>un</v>
      </c>
      <c r="H319" s="203">
        <v>741.05380000000002</v>
      </c>
      <c r="I319" s="203">
        <v>68.439501779359432</v>
      </c>
      <c r="J319" s="203">
        <v>0</v>
      </c>
      <c r="K319" s="316">
        <f t="shared" si="100"/>
        <v>809.49</v>
      </c>
      <c r="L319" s="317">
        <f t="shared" si="101"/>
        <v>36427.050000000003</v>
      </c>
      <c r="M319" s="318">
        <f t="shared" si="89"/>
        <v>1.3191883069064657E-3</v>
      </c>
    </row>
    <row r="320" spans="2:13" s="313" customFormat="1" ht="54" x14ac:dyDescent="0.2">
      <c r="B320" s="314" t="s">
        <v>702</v>
      </c>
      <c r="C320" s="315" t="str">
        <f>VLOOKUP(D320,Fontes!$A$6:$H$11629,8,FALSE)</f>
        <v>Custo Mercado Reajustado</v>
      </c>
      <c r="D320" s="315" t="s">
        <v>1693</v>
      </c>
      <c r="E320" s="204" t="str">
        <f>VLOOKUP(D320,Fontes!$A$6:$H$11629,2,FALSE)</f>
        <v>Luminária de embutir, tipo linear com led pot. 70w,  6500k refletor em chapa de aço com pintura cor  branca e difusor acrílico leitoso extrundado, dim.  67x2237mm</v>
      </c>
      <c r="F320" s="203">
        <v>7</v>
      </c>
      <c r="G320" s="203" t="str">
        <f>VLOOKUP(D320,Fontes!$A$6:$L$11629,3,FALSE)</f>
        <v>un</v>
      </c>
      <c r="H320" s="203">
        <v>871.82799999999997</v>
      </c>
      <c r="I320" s="203">
        <v>68.439501779359432</v>
      </c>
      <c r="J320" s="203">
        <v>0</v>
      </c>
      <c r="K320" s="316">
        <f t="shared" si="100"/>
        <v>940.27</v>
      </c>
      <c r="L320" s="317">
        <f t="shared" si="101"/>
        <v>6581.89</v>
      </c>
      <c r="M320" s="318">
        <f t="shared" si="89"/>
        <v>2.3836001886907112E-4</v>
      </c>
    </row>
    <row r="321" spans="2:13" s="313" customFormat="1" ht="54" x14ac:dyDescent="0.2">
      <c r="B321" s="314" t="s">
        <v>703</v>
      </c>
      <c r="C321" s="315" t="str">
        <f>VLOOKUP(D321,Fontes!$A$6:$H$11629,8,FALSE)</f>
        <v>Custo Mercado Reajustado</v>
      </c>
      <c r="D321" s="315" t="s">
        <v>1694</v>
      </c>
      <c r="E321" s="204" t="str">
        <f>VLOOKUP(D321,Fontes!$A$6:$H$11629,2,FALSE)</f>
        <v>Luminária embutir com leds tubulares, pot. 1x19w - 6500k  difusor translúcido e refletor de alumínio anodizado, dim. 174x1243mm</v>
      </c>
      <c r="F321" s="203">
        <v>48</v>
      </c>
      <c r="G321" s="203" t="str">
        <f>VLOOKUP(D321,Fontes!$A$6:$L$11629,3,FALSE)</f>
        <v>un</v>
      </c>
      <c r="H321" s="203">
        <v>261.54840000000002</v>
      </c>
      <c r="I321" s="203">
        <v>68.439501779359432</v>
      </c>
      <c r="J321" s="203">
        <v>0</v>
      </c>
      <c r="K321" s="316">
        <f t="shared" si="100"/>
        <v>329.99</v>
      </c>
      <c r="L321" s="317">
        <f t="shared" si="101"/>
        <v>15839.52</v>
      </c>
      <c r="M321" s="318">
        <f t="shared" si="89"/>
        <v>5.7362069042129679E-4</v>
      </c>
    </row>
    <row r="322" spans="2:13" s="313" customFormat="1" ht="54" x14ac:dyDescent="0.2">
      <c r="B322" s="314" t="s">
        <v>704</v>
      </c>
      <c r="C322" s="315" t="str">
        <f>VLOOKUP(D322,Fontes!$A$6:$H$11629,8,FALSE)</f>
        <v>Custo Mercado Reajustado</v>
      </c>
      <c r="D322" s="315" t="s">
        <v>1695</v>
      </c>
      <c r="E322" s="204" t="str">
        <f>VLOOKUP(D322,Fontes!$A$6:$H$11629,2,FALSE)</f>
        <v>Luminária de sobrepor com leds tubulares, pot. 2x19w - 6500k  difusor translúcido, refletor de aluminio anodizado, dim.: 235x1243mm</v>
      </c>
      <c r="F322" s="203">
        <v>20</v>
      </c>
      <c r="G322" s="203" t="str">
        <f>VLOOKUP(D322,Fontes!$A$6:$L$11629,3,FALSE)</f>
        <v>un</v>
      </c>
      <c r="H322" s="203">
        <v>326.93549999999999</v>
      </c>
      <c r="I322" s="203">
        <v>68.439501779359432</v>
      </c>
      <c r="J322" s="203">
        <v>0</v>
      </c>
      <c r="K322" s="316">
        <f t="shared" si="100"/>
        <v>395.38</v>
      </c>
      <c r="L322" s="317">
        <f t="shared" si="101"/>
        <v>7907.6</v>
      </c>
      <c r="M322" s="318">
        <f t="shared" si="89"/>
        <v>2.863699765886496E-4</v>
      </c>
    </row>
    <row r="323" spans="2:13" s="313" customFormat="1" ht="54" x14ac:dyDescent="0.2">
      <c r="B323" s="314" t="s">
        <v>705</v>
      </c>
      <c r="C323" s="315" t="str">
        <f>VLOOKUP(D323,Fontes!$A$6:$H$11629,8,FALSE)</f>
        <v>Custo Mercado Reajustado</v>
      </c>
      <c r="D323" s="315" t="s">
        <v>1696</v>
      </c>
      <c r="E323" s="204" t="str">
        <f>VLOOKUP(D323,Fontes!$A$6:$H$11629,2,FALSE)</f>
        <v>Luminária de sobrepor com leds tubulares, pot. 2x19w - 6500k refletor de alumínio anodizado de alto brilho, dim.: 160x1235mm</v>
      </c>
      <c r="F323" s="203">
        <v>22</v>
      </c>
      <c r="G323" s="203" t="str">
        <f>VLOOKUP(D323,Fontes!$A$6:$L$11629,3,FALSE)</f>
        <v>un</v>
      </c>
      <c r="H323" s="203">
        <v>414.11830000000003</v>
      </c>
      <c r="I323" s="203">
        <v>68.439501779359432</v>
      </c>
      <c r="J323" s="203">
        <v>0</v>
      </c>
      <c r="K323" s="316">
        <f t="shared" si="100"/>
        <v>482.56</v>
      </c>
      <c r="L323" s="317">
        <f t="shared" si="101"/>
        <v>10616.32</v>
      </c>
      <c r="M323" s="318">
        <f t="shared" si="89"/>
        <v>3.8446498430087664E-4</v>
      </c>
    </row>
    <row r="324" spans="2:13" s="313" customFormat="1" ht="54" x14ac:dyDescent="0.2">
      <c r="B324" s="314" t="s">
        <v>706</v>
      </c>
      <c r="C324" s="315" t="str">
        <f>VLOOKUP(D324,Fontes!$A$6:$H$11629,8,FALSE)</f>
        <v>Custo Mercado Reajustado</v>
      </c>
      <c r="D324" s="315" t="s">
        <v>1697</v>
      </c>
      <c r="E324" s="204" t="str">
        <f>VLOOKUP(D324,Fontes!$A$6:$H$11629,2,FALSE)</f>
        <v>Luminária arandela com led tubular, pot. 1x19w - 6500k  difusor translucido e refletor de alumínio anodizado, dim.: 244x618mm</v>
      </c>
      <c r="F324" s="203">
        <v>9</v>
      </c>
      <c r="G324" s="203" t="str">
        <f>VLOOKUP(D324,Fontes!$A$6:$L$11629,3,FALSE)</f>
        <v>un</v>
      </c>
      <c r="H324" s="203">
        <v>762.84950000000003</v>
      </c>
      <c r="I324" s="203">
        <v>68.439501779359432</v>
      </c>
      <c r="J324" s="203">
        <v>0</v>
      </c>
      <c r="K324" s="316">
        <f t="shared" si="100"/>
        <v>831.29</v>
      </c>
      <c r="L324" s="317">
        <f t="shared" si="101"/>
        <v>7481.61</v>
      </c>
      <c r="M324" s="318">
        <f t="shared" si="89"/>
        <v>2.7094295115400455E-4</v>
      </c>
    </row>
    <row r="325" spans="2:13" s="313" customFormat="1" ht="54" x14ac:dyDescent="0.2">
      <c r="B325" s="314" t="s">
        <v>707</v>
      </c>
      <c r="C325" s="315" t="str">
        <f>VLOOKUP(D325,Fontes!$A$6:$H$11629,8,FALSE)</f>
        <v>Custo Mercado Reajustado</v>
      </c>
      <c r="D325" s="315" t="s">
        <v>1698</v>
      </c>
      <c r="E325" s="204" t="str">
        <f>VLOOKUP(D325,Fontes!$A$6:$H$11629,2,FALSE)</f>
        <v>Luminária de embutir balizador, led e27 1x4w - 6500k, difusor temperado jateado e corpo alúminio  injetado com pintura eletrostática branca, dim.: 105x233mm</v>
      </c>
      <c r="F325" s="203">
        <v>32</v>
      </c>
      <c r="G325" s="203" t="str">
        <f>VLOOKUP(D325,Fontes!$A$6:$L$11629,3,FALSE)</f>
        <v>un</v>
      </c>
      <c r="H325" s="203">
        <v>217.95699999999999</v>
      </c>
      <c r="I325" s="203">
        <v>68.439501779359432</v>
      </c>
      <c r="J325" s="203">
        <v>0</v>
      </c>
      <c r="K325" s="316">
        <f t="shared" si="100"/>
        <v>286.39999999999998</v>
      </c>
      <c r="L325" s="317">
        <f t="shared" si="101"/>
        <v>9164.7999999999993</v>
      </c>
      <c r="M325" s="318">
        <f t="shared" si="89"/>
        <v>3.3189887721175269E-4</v>
      </c>
    </row>
    <row r="326" spans="2:13" s="313" customFormat="1" ht="54" x14ac:dyDescent="0.2">
      <c r="B326" s="314" t="s">
        <v>708</v>
      </c>
      <c r="C326" s="315" t="str">
        <f>VLOOKUP(D326,Fontes!$A$6:$H$11629,8,FALSE)</f>
        <v>Custo Mercado Reajustado</v>
      </c>
      <c r="D326" s="315" t="s">
        <v>1699</v>
      </c>
      <c r="E326" s="204" t="str">
        <f>VLOOKUP(D326,Fontes!$A$6:$H$11629,2,FALSE)</f>
        <v>Luminária embutir com leds tubulares, pot. 2x10w - 6500k  difusor translúcido e refletor alumínio anodizado, dim.: 175x618mm</v>
      </c>
      <c r="F326" s="203">
        <v>15</v>
      </c>
      <c r="G326" s="203" t="str">
        <f>VLOOKUP(D326,Fontes!$A$6:$L$11629,3,FALSE)</f>
        <v>un</v>
      </c>
      <c r="H326" s="203">
        <v>653.87099999999998</v>
      </c>
      <c r="I326" s="203">
        <v>68.439501779359432</v>
      </c>
      <c r="J326" s="203">
        <v>0</v>
      </c>
      <c r="K326" s="316">
        <f t="shared" si="100"/>
        <v>722.31</v>
      </c>
      <c r="L326" s="317">
        <f t="shared" si="101"/>
        <v>10834.65</v>
      </c>
      <c r="M326" s="318">
        <f t="shared" si="89"/>
        <v>3.9237170150819618E-4</v>
      </c>
    </row>
    <row r="327" spans="2:13" s="313" customFormat="1" ht="180" x14ac:dyDescent="0.2">
      <c r="B327" s="314" t="s">
        <v>709</v>
      </c>
      <c r="C327" s="315" t="str">
        <f>VLOOKUP(D327,Fontes!$A$6:$H$11629,8,FALSE)</f>
        <v>Custo Mercado Reajustado</v>
      </c>
      <c r="D327" s="315" t="s">
        <v>1700</v>
      </c>
      <c r="E327" s="204" t="str">
        <f>VLOOKUP(D327,Fontes!$A$6:$H$11629,2,FALSE)</f>
        <v xml:space="preserve">Luminária led, 78w, decorativa para instalação em topo de poste reto com encaixe para postes de 60mm de diâmetro. equipada com módulo led e driver com índice de proteção ip67, corpo em perfil de alumínio extrudado e chapa de alumínio, acabamento em tinta pó poliéster de alta resistência na cor preto microtexturizado aplicado por processo eletrostático, garantindo camada mínima de 50µm. lente: em pmma injetado com elevado índice de transmissão luminosa, proporcionando controle preciso da luz vedação em silicone  equipada com 2 módulos. </v>
      </c>
      <c r="F327" s="203">
        <v>24</v>
      </c>
      <c r="G327" s="203" t="str">
        <f>VLOOKUP(D327,Fontes!$A$6:$L$11629,3,FALSE)</f>
        <v>un</v>
      </c>
      <c r="H327" s="203">
        <v>1046.1936000000001</v>
      </c>
      <c r="I327" s="203">
        <v>68.439501779359432</v>
      </c>
      <c r="J327" s="203">
        <v>0</v>
      </c>
      <c r="K327" s="316">
        <f t="shared" si="100"/>
        <v>1114.6300000000001</v>
      </c>
      <c r="L327" s="317">
        <f t="shared" si="101"/>
        <v>26751.119999999999</v>
      </c>
      <c r="M327" s="318">
        <f t="shared" si="89"/>
        <v>9.6877909961557936E-4</v>
      </c>
    </row>
    <row r="328" spans="2:13" s="313" customFormat="1" ht="180" x14ac:dyDescent="0.2">
      <c r="B328" s="314" t="s">
        <v>710</v>
      </c>
      <c r="C328" s="315" t="str">
        <f>VLOOKUP(D328,Fontes!$A$6:$H$11629,8,FALSE)</f>
        <v>Custo Mercado Reajustado</v>
      </c>
      <c r="D328" s="315" t="s">
        <v>1701</v>
      </c>
      <c r="E328" s="204" t="str">
        <f>VLOOKUP(D328,Fontes!$A$6:$H$11629,2,FALSE)</f>
        <v xml:space="preserve">Luminária led, 150w, decorativa para instalação em topo de poste reto com encaixe para postes de 60mm de diâmetro. equipada com módulo led e driver com índice de proteção ip67, corpo em perfil de alumínio extrudado e chapa de alumínio, acabamento em tinta pó poliéster de alta resistência na cor preto microtexturizado aplicado por processo eletrostático, garantindo camada mínima de 50µm lente em pmma injetado com elevado índice de transmissão luminosa, proporcionando controle preciso da luz vedação em silicone.  equipada com 3 módulos </v>
      </c>
      <c r="F328" s="203">
        <v>4</v>
      </c>
      <c r="G328" s="203" t="str">
        <f>VLOOKUP(D328,Fontes!$A$6:$L$11629,3,FALSE)</f>
        <v>un</v>
      </c>
      <c r="H328" s="203">
        <v>1089.7850000000001</v>
      </c>
      <c r="I328" s="203">
        <v>68.439501779359432</v>
      </c>
      <c r="J328" s="203">
        <v>0</v>
      </c>
      <c r="K328" s="316">
        <f t="shared" si="100"/>
        <v>1158.22</v>
      </c>
      <c r="L328" s="317">
        <f t="shared" si="101"/>
        <v>4632.88</v>
      </c>
      <c r="M328" s="318">
        <f t="shared" si="89"/>
        <v>1.6777754781956887E-4</v>
      </c>
    </row>
    <row r="329" spans="2:13" s="313" customFormat="1" ht="54" x14ac:dyDescent="0.2">
      <c r="B329" s="314" t="s">
        <v>711</v>
      </c>
      <c r="C329" s="315" t="str">
        <f>VLOOKUP(D329,Fontes!$A$6:$H$11629,8,FALSE)</f>
        <v>Custo Mercado Reajustado</v>
      </c>
      <c r="D329" s="315" t="s">
        <v>1702</v>
      </c>
      <c r="E329" s="204" t="str">
        <f>VLOOKUP(D329,Fontes!$A$6:$H$11629,2,FALSE)</f>
        <v xml:space="preserve">Luminária tipo espeto, com lâmpada led 10w, 6500k, ip-65 e instalada no jardim </v>
      </c>
      <c r="F329" s="203">
        <v>7</v>
      </c>
      <c r="G329" s="203" t="str">
        <f>VLOOKUP(D329,Fontes!$A$6:$L$11629,3,FALSE)</f>
        <v>un</v>
      </c>
      <c r="H329" s="203">
        <v>435.91399999999999</v>
      </c>
      <c r="I329" s="203">
        <v>68.439501779359432</v>
      </c>
      <c r="J329" s="203">
        <v>0</v>
      </c>
      <c r="K329" s="316">
        <f t="shared" si="100"/>
        <v>504.35</v>
      </c>
      <c r="L329" s="317">
        <f t="shared" si="101"/>
        <v>3530.45</v>
      </c>
      <c r="M329" s="318">
        <f t="shared" ref="M329:M392" si="102">+L329/$L$851</f>
        <v>1.2785356920524531E-4</v>
      </c>
    </row>
    <row r="330" spans="2:13" s="313" customFormat="1" ht="54" x14ac:dyDescent="0.2">
      <c r="B330" s="314" t="s">
        <v>712</v>
      </c>
      <c r="C330" s="315" t="str">
        <f>VLOOKUP(D330,Fontes!$A$6:$H$11629,8,FALSE)</f>
        <v>Custo Mercado Reajustado</v>
      </c>
      <c r="D330" s="315" t="s">
        <v>1703</v>
      </c>
      <c r="E330" s="204" t="str">
        <f>VLOOKUP(D330,Fontes!$A$6:$H$11629,2,FALSE)</f>
        <v>Luminária pendente de led e27, ip-65, com grade, visor em vidro anti-ofuscamento e corpo em alumínio injetado com pintura eletrostática a pó</v>
      </c>
      <c r="F330" s="203">
        <v>7</v>
      </c>
      <c r="G330" s="203" t="str">
        <f>VLOOKUP(D330,Fontes!$A$6:$L$11629,3,FALSE)</f>
        <v>un</v>
      </c>
      <c r="H330" s="203">
        <v>871.82799999999997</v>
      </c>
      <c r="I330" s="203">
        <v>68.439501779359432</v>
      </c>
      <c r="J330" s="203">
        <v>0</v>
      </c>
      <c r="K330" s="316">
        <f t="shared" si="100"/>
        <v>940.27</v>
      </c>
      <c r="L330" s="317">
        <f t="shared" si="101"/>
        <v>6581.89</v>
      </c>
      <c r="M330" s="318">
        <f t="shared" si="102"/>
        <v>2.3836001886907112E-4</v>
      </c>
    </row>
    <row r="331" spans="2:13" s="313" customFormat="1" ht="54" x14ac:dyDescent="0.2">
      <c r="B331" s="314" t="s">
        <v>713</v>
      </c>
      <c r="C331" s="315" t="str">
        <f>VLOOKUP(D331,Fontes!$A$6:$H$11629,8,FALSE)</f>
        <v>Custo Mercado Reajustado</v>
      </c>
      <c r="D331" s="315" t="s">
        <v>1704</v>
      </c>
      <c r="E331" s="204" t="str">
        <f>VLOOKUP(D331,Fontes!$A$6:$H$11629,2,FALSE)</f>
        <v>Luminária arandela 45°, led e27, pot. 13w - ip-65, com visor em vidro com grade e corpo alumínio injetado com pintura eletrostática a pó</v>
      </c>
      <c r="F331" s="203">
        <v>11</v>
      </c>
      <c r="G331" s="203" t="str">
        <f>VLOOKUP(D331,Fontes!$A$6:$L$11629,3,FALSE)</f>
        <v>un</v>
      </c>
      <c r="H331" s="203">
        <v>948.11295000000007</v>
      </c>
      <c r="I331" s="203">
        <v>68.439501779359432</v>
      </c>
      <c r="J331" s="203">
        <v>0</v>
      </c>
      <c r="K331" s="316">
        <f t="shared" si="100"/>
        <v>1016.55</v>
      </c>
      <c r="L331" s="317">
        <f t="shared" si="101"/>
        <v>11182.05</v>
      </c>
      <c r="M331" s="318">
        <f t="shared" si="102"/>
        <v>4.0495262743602467E-4</v>
      </c>
    </row>
    <row r="332" spans="2:13" s="313" customFormat="1" ht="54" x14ac:dyDescent="0.2">
      <c r="B332" s="314" t="s">
        <v>714</v>
      </c>
      <c r="C332" s="315" t="str">
        <f>VLOOKUP(D332,Fontes!$A$6:$H$11629,8,FALSE)</f>
        <v>Custo Mercado Reajustado</v>
      </c>
      <c r="D332" s="315" t="s">
        <v>1705</v>
      </c>
      <c r="E332" s="204" t="str">
        <f>VLOOKUP(D332,Fontes!$A$6:$H$11629,2,FALSE)</f>
        <v>Luminária de emergência, sobrepor, unidade autônoma, led 4w, com indicação de saída, para instalação no teto</v>
      </c>
      <c r="F332" s="203">
        <v>4</v>
      </c>
      <c r="G332" s="203" t="str">
        <f>VLOOKUP(D332,Fontes!$A$6:$L$11629,3,FALSE)</f>
        <v>un</v>
      </c>
      <c r="H332" s="203">
        <v>163.46775</v>
      </c>
      <c r="I332" s="203">
        <v>68.439501779359432</v>
      </c>
      <c r="J332" s="203">
        <v>0</v>
      </c>
      <c r="K332" s="316">
        <f t="shared" si="100"/>
        <v>231.91</v>
      </c>
      <c r="L332" s="317">
        <f t="shared" si="101"/>
        <v>927.64</v>
      </c>
      <c r="M332" s="318">
        <f t="shared" si="102"/>
        <v>3.3594041818338672E-5</v>
      </c>
    </row>
    <row r="333" spans="2:13" s="313" customFormat="1" ht="54" x14ac:dyDescent="0.2">
      <c r="B333" s="314" t="s">
        <v>715</v>
      </c>
      <c r="C333" s="315" t="str">
        <f>VLOOKUP(D333,Fontes!$A$6:$H$11629,8,FALSE)</f>
        <v>Custo Mercado Reajustado</v>
      </c>
      <c r="D333" s="315" t="s">
        <v>1706</v>
      </c>
      <c r="E333" s="204" t="str">
        <f>VLOOKUP(D333,Fontes!$A$6:$H$11629,2,FALSE)</f>
        <v>Luminária de emergência, sobrepor, unidade autônoma, led 4w, com indicação de saída, para instalação em parede</v>
      </c>
      <c r="F333" s="203">
        <v>14</v>
      </c>
      <c r="G333" s="203" t="str">
        <f>VLOOKUP(D333,Fontes!$A$6:$L$11629,3,FALSE)</f>
        <v>un</v>
      </c>
      <c r="H333" s="203">
        <v>163.46775</v>
      </c>
      <c r="I333" s="203">
        <v>68.439501779359432</v>
      </c>
      <c r="J333" s="203">
        <v>0</v>
      </c>
      <c r="K333" s="316">
        <f t="shared" si="100"/>
        <v>231.91</v>
      </c>
      <c r="L333" s="317">
        <f t="shared" si="101"/>
        <v>3246.74</v>
      </c>
      <c r="M333" s="318">
        <f t="shared" si="102"/>
        <v>1.1757914636418535E-4</v>
      </c>
    </row>
    <row r="334" spans="2:13" s="313" customFormat="1" ht="54" x14ac:dyDescent="0.2">
      <c r="B334" s="314" t="s">
        <v>716</v>
      </c>
      <c r="C334" s="315" t="str">
        <f>VLOOKUP(D334,Fontes!$A$6:$H$11629,8,FALSE)</f>
        <v>Custo Mercado Reajustado</v>
      </c>
      <c r="D334" s="315" t="s">
        <v>1707</v>
      </c>
      <c r="E334" s="204" t="str">
        <f>VLOOKUP(D334,Fontes!$A$6:$H$11629,2,FALSE)</f>
        <v>Luminária de emergência, sobrepor, unidade autônoma, led 4w, aclaramento, para instalação em parede</v>
      </c>
      <c r="F334" s="203">
        <v>13</v>
      </c>
      <c r="G334" s="203" t="str">
        <f>VLOOKUP(D334,Fontes!$A$6:$L$11629,3,FALSE)</f>
        <v>un</v>
      </c>
      <c r="H334" s="203">
        <v>163.46775</v>
      </c>
      <c r="I334" s="203">
        <v>68.439501779359432</v>
      </c>
      <c r="J334" s="203">
        <v>0</v>
      </c>
      <c r="K334" s="316">
        <f t="shared" si="100"/>
        <v>231.91</v>
      </c>
      <c r="L334" s="317">
        <f t="shared" si="101"/>
        <v>3014.83</v>
      </c>
      <c r="M334" s="318">
        <f t="shared" si="102"/>
        <v>1.0918063590960069E-4</v>
      </c>
    </row>
    <row r="335" spans="2:13" s="313" customFormat="1" ht="54" x14ac:dyDescent="0.2">
      <c r="B335" s="314" t="s">
        <v>717</v>
      </c>
      <c r="C335" s="315" t="str">
        <f>VLOOKUP(D335,Fontes!$A$6:$H$11629,8,FALSE)</f>
        <v>Custo Mercado Reajustado</v>
      </c>
      <c r="D335" s="315" t="s">
        <v>1708</v>
      </c>
      <c r="E335" s="204" t="str">
        <f>VLOOKUP(D335,Fontes!$A$6:$H$11629,2,FALSE)</f>
        <v>Unidade autônoma de soprepor com 2 projetores em led de 2x55w de alta intensidade luminosa</v>
      </c>
      <c r="F335" s="203">
        <v>1</v>
      </c>
      <c r="G335" s="203" t="str">
        <f>VLOOKUP(D335,Fontes!$A$6:$L$11629,3,FALSE)</f>
        <v>un</v>
      </c>
      <c r="H335" s="203">
        <v>163.46775</v>
      </c>
      <c r="I335" s="203">
        <v>68.439501779359432</v>
      </c>
      <c r="J335" s="203">
        <v>0</v>
      </c>
      <c r="K335" s="316">
        <f t="shared" si="100"/>
        <v>231.91</v>
      </c>
      <c r="L335" s="317">
        <f t="shared" si="101"/>
        <v>231.91</v>
      </c>
      <c r="M335" s="318">
        <f t="shared" si="102"/>
        <v>8.398510454584668E-6</v>
      </c>
    </row>
    <row r="336" spans="2:13" s="109" customFormat="1" ht="18" x14ac:dyDescent="0.2">
      <c r="B336" s="114"/>
      <c r="C336" s="115"/>
      <c r="D336" s="115"/>
      <c r="E336" s="116"/>
      <c r="F336" s="117"/>
      <c r="G336" s="117"/>
      <c r="H336" s="117"/>
      <c r="I336" s="117"/>
      <c r="J336" s="117"/>
      <c r="K336" s="118"/>
      <c r="L336" s="119"/>
      <c r="M336" s="120">
        <f t="shared" si="102"/>
        <v>0</v>
      </c>
    </row>
    <row r="337" spans="2:13" s="109" customFormat="1" ht="25.5" customHeight="1" x14ac:dyDescent="0.2">
      <c r="B337" s="217" t="s">
        <v>718</v>
      </c>
      <c r="C337" s="218"/>
      <c r="D337" s="218"/>
      <c r="E337" s="311" t="s">
        <v>381</v>
      </c>
      <c r="F337" s="219"/>
      <c r="G337" s="220"/>
      <c r="H337" s="221"/>
      <c r="I337" s="221"/>
      <c r="J337" s="219"/>
      <c r="K337" s="219"/>
      <c r="L337" s="222">
        <f>SUBTOTAL(9,L338:L350)</f>
        <v>124044.87999999999</v>
      </c>
      <c r="M337" s="223">
        <f t="shared" si="102"/>
        <v>4.4922263874679859E-3</v>
      </c>
    </row>
    <row r="338" spans="2:13" s="313" customFormat="1" ht="54" x14ac:dyDescent="0.2">
      <c r="B338" s="314" t="s">
        <v>719</v>
      </c>
      <c r="C338" s="315" t="str">
        <f>VLOOKUP(D338,Fontes!$A$6:$H$11629,8,FALSE)</f>
        <v>Custo Mercado Reajustado</v>
      </c>
      <c r="D338" s="315" t="s">
        <v>1709</v>
      </c>
      <c r="E338" s="204" t="str">
        <f>VLOOKUP(D338,Fontes!$A$6:$H$11629,2,FALSE)</f>
        <v>Cabo de cobre nú, 7 fios, inclusive isoladores # 35mm²</v>
      </c>
      <c r="F338" s="203">
        <v>237</v>
      </c>
      <c r="G338" s="203" t="str">
        <f>VLOOKUP(D338,Fontes!$A$6:$L$11629,3,FALSE)</f>
        <v>m</v>
      </c>
      <c r="H338" s="203">
        <v>43.23625830000001</v>
      </c>
      <c r="I338" s="203">
        <v>43.670254869078612</v>
      </c>
      <c r="J338" s="203">
        <v>0</v>
      </c>
      <c r="K338" s="316">
        <f t="shared" ref="K338:K350" si="103">ROUND(+H338+I338+J338,2)</f>
        <v>86.91</v>
      </c>
      <c r="L338" s="317">
        <f t="shared" ref="L338:L350" si="104">ROUND(F338*K338,2)</f>
        <v>20597.669999999998</v>
      </c>
      <c r="M338" s="318">
        <f t="shared" si="102"/>
        <v>7.4593483176699997E-4</v>
      </c>
    </row>
    <row r="339" spans="2:13" s="313" customFormat="1" ht="54" x14ac:dyDescent="0.2">
      <c r="B339" s="314" t="s">
        <v>720</v>
      </c>
      <c r="C339" s="315" t="str">
        <f>VLOOKUP(D339,Fontes!$A$6:$H$11629,8,FALSE)</f>
        <v>Custo Mercado Reajustado</v>
      </c>
      <c r="D339" s="315" t="s">
        <v>1710</v>
      </c>
      <c r="E339" s="204" t="str">
        <f>VLOOKUP(D339,Fontes!$A$6:$H$11629,2,FALSE)</f>
        <v>Cabo de cobre nú, 7 fios, inclusive isoladores # 50mm²</v>
      </c>
      <c r="F339" s="203">
        <v>116</v>
      </c>
      <c r="G339" s="203" t="str">
        <f>VLOOKUP(D339,Fontes!$A$6:$L$11629,3,FALSE)</f>
        <v>m</v>
      </c>
      <c r="H339" s="203">
        <v>62.258134949999999</v>
      </c>
      <c r="I339" s="203">
        <v>62.883069160959067</v>
      </c>
      <c r="J339" s="203">
        <v>0</v>
      </c>
      <c r="K339" s="316">
        <f t="shared" si="103"/>
        <v>125.14</v>
      </c>
      <c r="L339" s="317">
        <f t="shared" si="104"/>
        <v>14516.24</v>
      </c>
      <c r="M339" s="318">
        <f t="shared" si="102"/>
        <v>5.2569873399706843E-4</v>
      </c>
    </row>
    <row r="340" spans="2:13" s="313" customFormat="1" ht="54" x14ac:dyDescent="0.2">
      <c r="B340" s="314" t="s">
        <v>721</v>
      </c>
      <c r="C340" s="315" t="str">
        <f>VLOOKUP(D340,Fontes!$A$6:$H$11629,8,FALSE)</f>
        <v>Custo Mercado Reajustado</v>
      </c>
      <c r="D340" s="315" t="s">
        <v>1711</v>
      </c>
      <c r="E340" s="204" t="str">
        <f>VLOOKUP(D340,Fontes!$A$6:$H$11629,2,FALSE)</f>
        <v>Terminal à pressão reforçado para conexão de cabo de cobre à barra de aterramento, # 35mm² a  # 70mm²</v>
      </c>
      <c r="F340" s="203">
        <v>139</v>
      </c>
      <c r="G340" s="203" t="str">
        <f>VLOOKUP(D340,Fontes!$A$6:$L$11629,3,FALSE)</f>
        <v>un</v>
      </c>
      <c r="H340" s="203">
        <v>16.114073850000004</v>
      </c>
      <c r="I340" s="203">
        <v>16.27582357210256</v>
      </c>
      <c r="J340" s="203">
        <v>0</v>
      </c>
      <c r="K340" s="316">
        <f t="shared" si="103"/>
        <v>32.39</v>
      </c>
      <c r="L340" s="317">
        <f t="shared" si="104"/>
        <v>4502.21</v>
      </c>
      <c r="M340" s="318">
        <f t="shared" si="102"/>
        <v>1.6304539585932319E-4</v>
      </c>
    </row>
    <row r="341" spans="2:13" s="313" customFormat="1" ht="54" x14ac:dyDescent="0.2">
      <c r="B341" s="314" t="s">
        <v>722</v>
      </c>
      <c r="C341" s="315" t="str">
        <f>VLOOKUP(D341,Fontes!$A$6:$H$11629,8,FALSE)</f>
        <v>Custo Mercado Reajustado</v>
      </c>
      <c r="D341" s="315" t="s">
        <v>1712</v>
      </c>
      <c r="E341" s="204" t="str">
        <f>VLOOKUP(D341,Fontes!$A$6:$H$11629,2,FALSE)</f>
        <v>Caixa de inspeção em PVC com tampa metálica para aterramento, diâmetro 300mm e altura 400mm</v>
      </c>
      <c r="F341" s="203">
        <v>2</v>
      </c>
      <c r="G341" s="203" t="str">
        <f>VLOOKUP(D341,Fontes!$A$6:$L$11629,3,FALSE)</f>
        <v>un</v>
      </c>
      <c r="H341" s="203">
        <v>34.56477495</v>
      </c>
      <c r="I341" s="203">
        <v>34.91172897259807</v>
      </c>
      <c r="J341" s="203">
        <v>0</v>
      </c>
      <c r="K341" s="316">
        <f t="shared" si="103"/>
        <v>69.48</v>
      </c>
      <c r="L341" s="317">
        <f t="shared" si="104"/>
        <v>138.96</v>
      </c>
      <c r="M341" s="318">
        <f t="shared" si="102"/>
        <v>5.0323703711314109E-6</v>
      </c>
    </row>
    <row r="342" spans="2:13" s="313" customFormat="1" ht="54" x14ac:dyDescent="0.2">
      <c r="B342" s="314" t="s">
        <v>723</v>
      </c>
      <c r="C342" s="315" t="str">
        <f>VLOOKUP(D342,Fontes!$A$6:$H$11629,8,FALSE)</f>
        <v>Custo Mercado Reajustado</v>
      </c>
      <c r="D342" s="315" t="s">
        <v>1713</v>
      </c>
      <c r="E342" s="204" t="str">
        <f>VLOOKUP(D342,Fontes!$A$6:$H$11629,2,FALSE)</f>
        <v>Haste de aterramento tipo Cooperweld de cobre - 5/8" x 3,00m, com conector</v>
      </c>
      <c r="F342" s="203">
        <v>10</v>
      </c>
      <c r="G342" s="203" t="str">
        <f>VLOOKUP(D342,Fontes!$A$6:$L$11629,3,FALSE)</f>
        <v>un</v>
      </c>
      <c r="H342" s="203">
        <v>113.33763999999999</v>
      </c>
      <c r="I342" s="203">
        <v>233.03622794428261</v>
      </c>
      <c r="J342" s="203">
        <v>0</v>
      </c>
      <c r="K342" s="316">
        <f t="shared" si="103"/>
        <v>346.37</v>
      </c>
      <c r="L342" s="317">
        <f t="shared" si="104"/>
        <v>3463.7</v>
      </c>
      <c r="M342" s="318">
        <f t="shared" si="102"/>
        <v>1.2543624967248032E-4</v>
      </c>
    </row>
    <row r="343" spans="2:13" s="313" customFormat="1" ht="54" x14ac:dyDescent="0.2">
      <c r="B343" s="314" t="s">
        <v>724</v>
      </c>
      <c r="C343" s="315" t="str">
        <f>VLOOKUP(D343,Fontes!$A$6:$H$11629,8,FALSE)</f>
        <v>Custo Mercado Reajustado</v>
      </c>
      <c r="D343" s="315" t="s">
        <v>1714</v>
      </c>
      <c r="E343" s="204" t="str">
        <f>VLOOKUP(D343,Fontes!$A$6:$H$11629,2,FALSE)</f>
        <v>Barra Chata em Alumínio 7/8"x1/8"mmx3,00m, inclusive acessórios e conexões</v>
      </c>
      <c r="F343" s="203">
        <v>189</v>
      </c>
      <c r="G343" s="203" t="str">
        <f>VLOOKUP(D343,Fontes!$A$6:$L$11629,3,FALSE)</f>
        <v>un</v>
      </c>
      <c r="H343" s="203">
        <v>48.463380000000008</v>
      </c>
      <c r="I343" s="203">
        <v>48.949845329631749</v>
      </c>
      <c r="J343" s="203">
        <v>0</v>
      </c>
      <c r="K343" s="316">
        <f t="shared" si="103"/>
        <v>97.41</v>
      </c>
      <c r="L343" s="317">
        <f t="shared" si="104"/>
        <v>18410.490000000002</v>
      </c>
      <c r="M343" s="318">
        <f t="shared" si="102"/>
        <v>6.6672714733744345E-4</v>
      </c>
    </row>
    <row r="344" spans="2:13" s="313" customFormat="1" ht="54" x14ac:dyDescent="0.2">
      <c r="B344" s="314" t="s">
        <v>725</v>
      </c>
      <c r="C344" s="315" t="str">
        <f>VLOOKUP(D344,Fontes!$A$6:$H$11629,8,FALSE)</f>
        <v>Custo Mercado Reajustado</v>
      </c>
      <c r="D344" s="315" t="s">
        <v>1715</v>
      </c>
      <c r="E344" s="204" t="str">
        <f>VLOOKUP(D344,Fontes!$A$6:$H$11629,2,FALSE)</f>
        <v>Sinalizador para balizamento aéreo Duplo p/ duas Lâmpadas 60W c/ Relé Fotoelétrico 127 V</v>
      </c>
      <c r="F344" s="203">
        <v>1</v>
      </c>
      <c r="G344" s="203" t="str">
        <f>VLOOKUP(D344,Fontes!$A$6:$L$11629,3,FALSE)</f>
        <v>un</v>
      </c>
      <c r="H344" s="203">
        <v>207.7002</v>
      </c>
      <c r="I344" s="203">
        <v>57.694499999999998</v>
      </c>
      <c r="J344" s="203">
        <v>0</v>
      </c>
      <c r="K344" s="316">
        <f t="shared" si="103"/>
        <v>265.39</v>
      </c>
      <c r="L344" s="317">
        <f t="shared" si="104"/>
        <v>265.39</v>
      </c>
      <c r="M344" s="318">
        <f t="shared" si="102"/>
        <v>9.6109727460748786E-6</v>
      </c>
    </row>
    <row r="345" spans="2:13" s="313" customFormat="1" ht="54" x14ac:dyDescent="0.2">
      <c r="B345" s="314" t="s">
        <v>726</v>
      </c>
      <c r="C345" s="315" t="str">
        <f>VLOOKUP(D345,Fontes!$A$6:$H$11629,8,FALSE)</f>
        <v>Custo Mercado Reajustado</v>
      </c>
      <c r="D345" s="315" t="s">
        <v>1716</v>
      </c>
      <c r="E345" s="204" t="str">
        <f>VLOOKUP(D345,Fontes!$A$6:$H$11629,2,FALSE)</f>
        <v>Terminal Aéreo em Barra chara de alumínio 7/8"x1/8"mm e altura de 60cm</v>
      </c>
      <c r="F345" s="203">
        <v>22</v>
      </c>
      <c r="G345" s="203" t="str">
        <f>VLOOKUP(D345,Fontes!$A$6:$L$11629,3,FALSE)</f>
        <v>un</v>
      </c>
      <c r="H345" s="203">
        <v>11.551721000000001</v>
      </c>
      <c r="I345" s="203">
        <v>24.999385293347647</v>
      </c>
      <c r="J345" s="203">
        <v>0</v>
      </c>
      <c r="K345" s="316">
        <f t="shared" si="103"/>
        <v>36.549999999999997</v>
      </c>
      <c r="L345" s="317">
        <f t="shared" si="104"/>
        <v>804.1</v>
      </c>
      <c r="M345" s="318">
        <f t="shared" si="102"/>
        <v>2.9120099420169599E-5</v>
      </c>
    </row>
    <row r="346" spans="2:13" s="313" customFormat="1" ht="54" x14ac:dyDescent="0.2">
      <c r="B346" s="314" t="s">
        <v>727</v>
      </c>
      <c r="C346" s="315" t="str">
        <f>VLOOKUP(D346,Fontes!$A$6:$H$11629,8,FALSE)</f>
        <v>Custo Mercado Reajustado</v>
      </c>
      <c r="D346" s="315" t="s">
        <v>1717</v>
      </c>
      <c r="E346" s="204" t="str">
        <f>VLOOKUP(D346,Fontes!$A$6:$H$11629,2,FALSE)</f>
        <v>Barramento de Equipotencialização 2"x 1/4" ISOLADO, instalado em caixa metálica de sobrepor 300x300x120mm com tampa.</v>
      </c>
      <c r="F346" s="203">
        <v>3</v>
      </c>
      <c r="G346" s="203" t="str">
        <f>VLOOKUP(D346,Fontes!$A$6:$L$11629,3,FALSE)</f>
        <v>cj</v>
      </c>
      <c r="H346" s="203">
        <v>311.55030000000005</v>
      </c>
      <c r="I346" s="203">
        <v>57.694499999999998</v>
      </c>
      <c r="J346" s="203">
        <v>0</v>
      </c>
      <c r="K346" s="316">
        <f t="shared" si="103"/>
        <v>369.24</v>
      </c>
      <c r="L346" s="317">
        <f t="shared" si="104"/>
        <v>1107.72</v>
      </c>
      <c r="M346" s="318">
        <f t="shared" si="102"/>
        <v>4.0115553450702983E-5</v>
      </c>
    </row>
    <row r="347" spans="2:13" s="313" customFormat="1" ht="54" x14ac:dyDescent="0.2">
      <c r="B347" s="314" t="s">
        <v>728</v>
      </c>
      <c r="C347" s="315" t="str">
        <f>VLOOKUP(D347,Fontes!$A$6:$H$11629,8,FALSE)</f>
        <v>Custo Mercado Reajustado</v>
      </c>
      <c r="D347" s="315" t="s">
        <v>1718</v>
      </c>
      <c r="E347" s="204" t="str">
        <f>VLOOKUP(D347,Fontes!$A$6:$H$11629,2,FALSE)</f>
        <v>Conector Aterrinsert com disco de latão, rosca fêmea M12 e  distância do condutor regulável.</v>
      </c>
      <c r="F347" s="203">
        <v>3</v>
      </c>
      <c r="G347" s="203" t="str">
        <f>VLOOKUP(D347,Fontes!$A$6:$L$11629,3,FALSE)</f>
        <v>un</v>
      </c>
      <c r="H347" s="203">
        <v>143.14005450000002</v>
      </c>
      <c r="I347" s="203">
        <v>57.694499999999998</v>
      </c>
      <c r="J347" s="203">
        <v>0</v>
      </c>
      <c r="K347" s="316">
        <f t="shared" si="103"/>
        <v>200.83</v>
      </c>
      <c r="L347" s="317">
        <f t="shared" si="104"/>
        <v>602.49</v>
      </c>
      <c r="M347" s="318">
        <f t="shared" si="102"/>
        <v>2.1818889068098473E-5</v>
      </c>
    </row>
    <row r="348" spans="2:13" s="313" customFormat="1" ht="54" x14ac:dyDescent="0.2">
      <c r="B348" s="314" t="s">
        <v>729</v>
      </c>
      <c r="C348" s="315" t="str">
        <f>VLOOKUP(D348,Fontes!$A$6:$H$11629,8,FALSE)</f>
        <v>Custo Mercado Reajustado</v>
      </c>
      <c r="D348" s="315" t="s">
        <v>1719</v>
      </c>
      <c r="E348" s="204" t="str">
        <f>VLOOKUP(D348,Fontes!$A$6:$H$11629,2,FALSE)</f>
        <v>Tela em Inox 1,5mm para equipotencialização de cilindros de gases</v>
      </c>
      <c r="F348" s="203">
        <v>31</v>
      </c>
      <c r="G348" s="203" t="str">
        <f>VLOOKUP(D348,Fontes!$A$6:$L$11629,3,FALSE)</f>
        <v>m</v>
      </c>
      <c r="H348" s="203">
        <v>653.87099999999998</v>
      </c>
      <c r="I348" s="203">
        <v>57.694499999999998</v>
      </c>
      <c r="J348" s="203">
        <v>0</v>
      </c>
      <c r="K348" s="316">
        <f t="shared" si="103"/>
        <v>711.57</v>
      </c>
      <c r="L348" s="317">
        <f t="shared" si="104"/>
        <v>22058.67</v>
      </c>
      <c r="M348" s="318">
        <f t="shared" si="102"/>
        <v>7.9884425255156381E-4</v>
      </c>
    </row>
    <row r="349" spans="2:13" s="313" customFormat="1" ht="54" x14ac:dyDescent="0.2">
      <c r="B349" s="314" t="s">
        <v>730</v>
      </c>
      <c r="C349" s="315" t="str">
        <f>VLOOKUP(D349,Fontes!$A$6:$H$11629,8,FALSE)</f>
        <v>Custo Mercado Reajustado</v>
      </c>
      <c r="D349" s="315" t="s">
        <v>1720</v>
      </c>
      <c r="E349" s="204" t="str">
        <f>VLOOKUP(D349,Fontes!$A$6:$H$11629,2,FALSE)</f>
        <v>Conector cabo-haste em bronze para 1 cabos # 16-70mm²</v>
      </c>
      <c r="F349" s="203">
        <v>101</v>
      </c>
      <c r="G349" s="203" t="str">
        <f>VLOOKUP(D349,Fontes!$A$6:$L$11629,3,FALSE)</f>
        <v>m</v>
      </c>
      <c r="H349" s="203">
        <v>45.434418749999999</v>
      </c>
      <c r="I349" s="203">
        <v>45.890479996529763</v>
      </c>
      <c r="J349" s="203">
        <v>0</v>
      </c>
      <c r="K349" s="316">
        <f t="shared" si="103"/>
        <v>91.32</v>
      </c>
      <c r="L349" s="317">
        <f t="shared" si="104"/>
        <v>9223.32</v>
      </c>
      <c r="M349" s="318">
        <f t="shared" si="102"/>
        <v>3.3401815120512204E-4</v>
      </c>
    </row>
    <row r="350" spans="2:13" s="313" customFormat="1" ht="54" x14ac:dyDescent="0.2">
      <c r="B350" s="314" t="s">
        <v>731</v>
      </c>
      <c r="C350" s="315" t="str">
        <f>VLOOKUP(D350,Fontes!$A$6:$H$11629,8,FALSE)</f>
        <v>Custo Mercado Reajustado</v>
      </c>
      <c r="D350" s="315" t="s">
        <v>1721</v>
      </c>
      <c r="E350" s="204" t="str">
        <f>VLOOKUP(D350,Fontes!$A$6:$H$11629,2,FALSE)</f>
        <v>Conector cabo-haste em bronze para 2 cabos # 16-70mm²</v>
      </c>
      <c r="F350" s="203">
        <v>224</v>
      </c>
      <c r="G350" s="203" t="str">
        <f>VLOOKUP(D350,Fontes!$A$6:$L$11629,3,FALSE)</f>
        <v>m</v>
      </c>
      <c r="H350" s="203">
        <v>68.887232999999995</v>
      </c>
      <c r="I350" s="203">
        <v>57.694499999999998</v>
      </c>
      <c r="J350" s="203">
        <v>0</v>
      </c>
      <c r="K350" s="316">
        <f t="shared" si="103"/>
        <v>126.58</v>
      </c>
      <c r="L350" s="317">
        <f t="shared" si="104"/>
        <v>28353.919999999998</v>
      </c>
      <c r="M350" s="318">
        <f t="shared" si="102"/>
        <v>1.0268237400218071E-3</v>
      </c>
    </row>
    <row r="351" spans="2:13" s="109" customFormat="1" ht="18" x14ac:dyDescent="0.2">
      <c r="B351" s="114"/>
      <c r="C351" s="115"/>
      <c r="D351" s="115"/>
      <c r="E351" s="116"/>
      <c r="F351" s="117"/>
      <c r="G351" s="117"/>
      <c r="H351" s="117"/>
      <c r="I351" s="117"/>
      <c r="J351" s="117"/>
      <c r="K351" s="118"/>
      <c r="L351" s="119"/>
      <c r="M351" s="120">
        <f t="shared" si="102"/>
        <v>0</v>
      </c>
    </row>
    <row r="352" spans="2:13" s="109" customFormat="1" ht="25.5" customHeight="1" x14ac:dyDescent="0.2">
      <c r="B352" s="217" t="s">
        <v>732</v>
      </c>
      <c r="C352" s="218"/>
      <c r="D352" s="218"/>
      <c r="E352" s="311" t="s">
        <v>394</v>
      </c>
      <c r="F352" s="219"/>
      <c r="G352" s="220"/>
      <c r="H352" s="221"/>
      <c r="I352" s="221"/>
      <c r="J352" s="219"/>
      <c r="K352" s="219"/>
      <c r="L352" s="222">
        <f>SUBTOTAL(9,L353:L377)</f>
        <v>798712.77999999991</v>
      </c>
      <c r="M352" s="223">
        <f t="shared" si="102"/>
        <v>2.892500380768567E-2</v>
      </c>
    </row>
    <row r="353" spans="2:13" s="313" customFormat="1" ht="126" x14ac:dyDescent="0.2">
      <c r="B353" s="314" t="s">
        <v>733</v>
      </c>
      <c r="C353" s="315" t="str">
        <f>VLOOKUP(D353,Fontes!$A$6:$H$11629,8,FALSE)</f>
        <v>Custo Mercado Reajustado</v>
      </c>
      <c r="D353" s="315" t="s">
        <v>1722</v>
      </c>
      <c r="E353" s="204" t="str">
        <f>VLOOKUP(D353,Fontes!$A$6:$H$11629,2,FALSE)</f>
        <v>Quadro Geral de Baixa Tensão TTA ou PTTA conforme ABNT NBR IEC 60439-1, composto por barramentos de fase (03) , neutro e terra. Dispositivo de Proteção contra Surtos nas fases e neutro, protegido por chave seccionadora 125A, aterramento da porta. Disjuntor geral  de 2.500A/40kA com módulo de interface Modbus (Micrologic), e disjuntores secundários conforme diagrama de projeto (QGBT)</v>
      </c>
      <c r="F353" s="203">
        <v>1</v>
      </c>
      <c r="G353" s="203" t="str">
        <f>VLOOKUP(D353,Fontes!$A$6:$L$11629,3,FALSE)</f>
        <v>cj</v>
      </c>
      <c r="H353" s="203">
        <v>108978.5</v>
      </c>
      <c r="I353" s="203">
        <v>48078.75</v>
      </c>
      <c r="J353" s="203">
        <v>0</v>
      </c>
      <c r="K353" s="316">
        <f t="shared" ref="K353" si="105">ROUND(+H353+I353+J353,2)</f>
        <v>157057.25</v>
      </c>
      <c r="L353" s="317">
        <f t="shared" ref="L353" si="106">ROUND(F353*K353,2)</f>
        <v>157057.25</v>
      </c>
      <c r="M353" s="318">
        <f t="shared" si="102"/>
        <v>5.687753680709404E-3</v>
      </c>
    </row>
    <row r="354" spans="2:13" s="313" customFormat="1" ht="54" x14ac:dyDescent="0.2">
      <c r="B354" s="314" t="s">
        <v>734</v>
      </c>
      <c r="C354" s="315" t="str">
        <f>VLOOKUP(D354,Fontes!$A$6:$H$11629,8,FALSE)</f>
        <v>Custo Mercado Reajustado</v>
      </c>
      <c r="D354" s="315" t="s">
        <v>1723</v>
      </c>
      <c r="E354" s="204" t="str">
        <f>VLOOKUP(D354,Fontes!$A$6:$H$11629,2,FALSE)</f>
        <v>Quadro Tranferencia Automática composto por chave de transferência automatica 2.500A e Controlador Multiprocessado para supervisão. (QTA)</v>
      </c>
      <c r="F354" s="203">
        <v>1</v>
      </c>
      <c r="G354" s="203" t="str">
        <f>VLOOKUP(D354,Fontes!$A$6:$L$11629,3,FALSE)</f>
        <v>cj</v>
      </c>
      <c r="H354" s="203">
        <v>69746.240000000005</v>
      </c>
      <c r="I354" s="203">
        <v>13462.050000000001</v>
      </c>
      <c r="J354" s="203">
        <v>0</v>
      </c>
      <c r="K354" s="316">
        <f t="shared" ref="K354:K376" si="107">ROUND(+H354+I354+J354,2)</f>
        <v>83208.289999999994</v>
      </c>
      <c r="L354" s="317">
        <f t="shared" ref="L354:L376" si="108">ROUND(F354*K354,2)</f>
        <v>83208.289999999994</v>
      </c>
      <c r="M354" s="318">
        <f t="shared" si="102"/>
        <v>3.0133486847186961E-3</v>
      </c>
    </row>
    <row r="355" spans="2:13" s="313" customFormat="1" ht="72" x14ac:dyDescent="0.2">
      <c r="B355" s="314" t="s">
        <v>735</v>
      </c>
      <c r="C355" s="315" t="str">
        <f>VLOOKUP(D355,Fontes!$A$6:$H$11629,8,FALSE)</f>
        <v>Custo Mercado Reajustado</v>
      </c>
      <c r="D355" s="315" t="s">
        <v>1724</v>
      </c>
      <c r="E355" s="204" t="str">
        <f>VLOOKUP(D355,Fontes!$A$6:$H$11629,2,FALSE)</f>
        <v>Quadro de Força para elevador, composto por sistema de força trifásico com tensão nominal de 220V e frequência de 60Hz para elevador de 10,0cv, com chave seccionadora geral de 50A, conforme especificações do fabricante</v>
      </c>
      <c r="F355" s="203">
        <v>1</v>
      </c>
      <c r="G355" s="203" t="str">
        <f>VLOOKUP(D355,Fontes!$A$6:$L$11629,3,FALSE)</f>
        <v>cj</v>
      </c>
      <c r="H355" s="203">
        <v>9519.5925000000007</v>
      </c>
      <c r="I355" s="203">
        <v>5128.3999999999996</v>
      </c>
      <c r="J355" s="203">
        <v>0</v>
      </c>
      <c r="K355" s="316">
        <f t="shared" si="107"/>
        <v>14647.99</v>
      </c>
      <c r="L355" s="317">
        <f t="shared" si="108"/>
        <v>14647.99</v>
      </c>
      <c r="M355" s="318">
        <f t="shared" si="102"/>
        <v>5.3046999764413635E-4</v>
      </c>
    </row>
    <row r="356" spans="2:13" s="313" customFormat="1" ht="72" x14ac:dyDescent="0.2">
      <c r="B356" s="314" t="s">
        <v>736</v>
      </c>
      <c r="C356" s="315" t="str">
        <f>VLOOKUP(D356,Fontes!$A$6:$H$11629,8,FALSE)</f>
        <v>Custo Mercado Reajustado</v>
      </c>
      <c r="D356" s="315" t="s">
        <v>1725</v>
      </c>
      <c r="E356" s="204" t="str">
        <f>VLOOKUP(D356,Fontes!$A$6:$H$11629,2,FALSE)</f>
        <v>Quadro de Força para elevador, composto por sistema de força trifásico com tensão nominal de 220V e frequência de 60Hz para elevador de 12,0cv, com chave seccionadora geral de 50A, conforme especificações do fabricante</v>
      </c>
      <c r="F356" s="203">
        <v>1</v>
      </c>
      <c r="G356" s="203" t="str">
        <f>VLOOKUP(D356,Fontes!$A$6:$L$11629,3,FALSE)</f>
        <v>cj</v>
      </c>
      <c r="H356" s="203">
        <v>9519.5925000000007</v>
      </c>
      <c r="I356" s="203">
        <v>5128.3999999999996</v>
      </c>
      <c r="J356" s="203">
        <v>0</v>
      </c>
      <c r="K356" s="316">
        <f t="shared" si="107"/>
        <v>14647.99</v>
      </c>
      <c r="L356" s="317">
        <f t="shared" si="108"/>
        <v>14647.99</v>
      </c>
      <c r="M356" s="318">
        <f t="shared" si="102"/>
        <v>5.3046999764413635E-4</v>
      </c>
    </row>
    <row r="357" spans="2:13" s="313" customFormat="1" ht="90" x14ac:dyDescent="0.2">
      <c r="B357" s="314" t="s">
        <v>737</v>
      </c>
      <c r="C357" s="315" t="str">
        <f>VLOOKUP(D357,Fontes!$A$6:$H$11629,8,FALSE)</f>
        <v>Custo Mercado Reajustado</v>
      </c>
      <c r="D357" s="315" t="s">
        <v>1726</v>
      </c>
      <c r="E357" s="204" t="str">
        <f>VLOOKUP(D357,Fontes!$A$6:$H$11629,2,FALSE)</f>
        <v>Quadro de Força para bombas de incêndio, principal  + Jockey. Sistema de Sprinklers, partida estrela-triângulo eletromecânica e comunicação com
pressostatos. Principal 30 kW e Jockey 1,3 kW ( vide diagrama típico de comando )</v>
      </c>
      <c r="F357" s="203">
        <v>1</v>
      </c>
      <c r="G357" s="203" t="str">
        <f>VLOOKUP(D357,Fontes!$A$6:$L$11629,3,FALSE)</f>
        <v>cj</v>
      </c>
      <c r="H357" s="203">
        <v>8308.0079999999998</v>
      </c>
      <c r="I357" s="203">
        <v>5128.3999999999996</v>
      </c>
      <c r="J357" s="203">
        <v>0</v>
      </c>
      <c r="K357" s="316">
        <f t="shared" si="107"/>
        <v>13436.41</v>
      </c>
      <c r="L357" s="317">
        <f t="shared" si="108"/>
        <v>13436.41</v>
      </c>
      <c r="M357" s="318">
        <f t="shared" si="102"/>
        <v>4.8659320364402559E-4</v>
      </c>
    </row>
    <row r="358" spans="2:13" s="313" customFormat="1" ht="90" x14ac:dyDescent="0.2">
      <c r="B358" s="314" t="s">
        <v>738</v>
      </c>
      <c r="C358" s="315" t="str">
        <f>VLOOKUP(D358,Fontes!$A$6:$H$11629,8,FALSE)</f>
        <v>Custo Mercado Reajustado</v>
      </c>
      <c r="D358" s="315" t="s">
        <v>1727</v>
      </c>
      <c r="E358" s="204" t="str">
        <f>VLOOKUP(D358,Fontes!$A$6:$H$11629,2,FALSE)</f>
        <v>Quadro de Força para bombas de recalque de água potável, composto por sistema de força trifásico com tensão nominal de 220V e frequência de 60Hz para 1 bomba de 1,5cv com disjuntor motor geral de 16A; sistema de supervisão de falta de fase e sistema de comando eletromecânico</v>
      </c>
      <c r="F358" s="203">
        <v>1</v>
      </c>
      <c r="G358" s="203" t="str">
        <f>VLOOKUP(D358,Fontes!$A$6:$L$11629,3,FALSE)</f>
        <v>cj</v>
      </c>
      <c r="H358" s="203">
        <v>8308.0079999999998</v>
      </c>
      <c r="I358" s="203">
        <v>5128.3999999999996</v>
      </c>
      <c r="J358" s="203">
        <v>0</v>
      </c>
      <c r="K358" s="316">
        <f t="shared" si="107"/>
        <v>13436.41</v>
      </c>
      <c r="L358" s="317">
        <f t="shared" si="108"/>
        <v>13436.41</v>
      </c>
      <c r="M358" s="318">
        <f t="shared" si="102"/>
        <v>4.8659320364402559E-4</v>
      </c>
    </row>
    <row r="359" spans="2:13" s="313" customFormat="1" ht="90" x14ac:dyDescent="0.2">
      <c r="B359" s="314" t="s">
        <v>739</v>
      </c>
      <c r="C359" s="315" t="str">
        <f>VLOOKUP(D359,Fontes!$A$6:$H$11629,8,FALSE)</f>
        <v>Custo Mercado Reajustado</v>
      </c>
      <c r="D359" s="315" t="s">
        <v>1728</v>
      </c>
      <c r="E359" s="204" t="str">
        <f>VLOOKUP(D359,Fontes!$A$6:$H$11629,2,FALSE)</f>
        <v>Quadro de Força para bombas de recalque de água de reúso, composto por sistema de força trifásico com tensão nominal de 220V e frequência de 60Hz para 2 bombas de 3,0cv com disjuntor motor geral de 16A; sistema de supervisão de falta de fase e sistema de comando eletromecânico</v>
      </c>
      <c r="F359" s="203">
        <v>1</v>
      </c>
      <c r="G359" s="203" t="str">
        <f>VLOOKUP(D359,Fontes!$A$6:$L$11629,3,FALSE)</f>
        <v>cj</v>
      </c>
      <c r="H359" s="203">
        <v>10038.843000000001</v>
      </c>
      <c r="I359" s="203">
        <v>5128.3999999999996</v>
      </c>
      <c r="J359" s="203">
        <v>0</v>
      </c>
      <c r="K359" s="316">
        <f t="shared" si="107"/>
        <v>15167.24</v>
      </c>
      <c r="L359" s="317">
        <f t="shared" si="108"/>
        <v>15167.24</v>
      </c>
      <c r="M359" s="318">
        <f t="shared" si="102"/>
        <v>5.4927438966493366E-4</v>
      </c>
    </row>
    <row r="360" spans="2:13" s="313" customFormat="1" ht="108" x14ac:dyDescent="0.2">
      <c r="B360" s="314" t="s">
        <v>740</v>
      </c>
      <c r="C360" s="315" t="str">
        <f>VLOOKUP(D360,Fontes!$A$6:$H$11629,8,FALSE)</f>
        <v>Custo Mercado Reajustado</v>
      </c>
      <c r="D360" s="315" t="s">
        <v>1729</v>
      </c>
      <c r="E360" s="204" t="str">
        <f>VLOOKUP(D360,Fontes!$A$6:$H$11629,2,FALSE)</f>
        <v>Quadro de Força para pressurizador de rede potável/não potável composto por sistema de força trifásico com tensão nominal de 220V e frequência de 60Hz para 2 pressurizadores de 3,0cv com disjuntor motor geral de 16A  (este quadro geralmente é  fornecido com o conjunto moto bombas)</v>
      </c>
      <c r="F360" s="203">
        <v>1</v>
      </c>
      <c r="G360" s="203" t="str">
        <f>VLOOKUP(D360,Fontes!$A$6:$L$11629,3,FALSE)</f>
        <v>cj</v>
      </c>
      <c r="H360" s="203">
        <v>8308.0079999999998</v>
      </c>
      <c r="I360" s="203">
        <v>5128.3999999999996</v>
      </c>
      <c r="J360" s="203">
        <v>0</v>
      </c>
      <c r="K360" s="316">
        <f t="shared" si="107"/>
        <v>13436.41</v>
      </c>
      <c r="L360" s="317">
        <f t="shared" si="108"/>
        <v>13436.41</v>
      </c>
      <c r="M360" s="318">
        <f t="shared" si="102"/>
        <v>4.8659320364402559E-4</v>
      </c>
    </row>
    <row r="361" spans="2:13" s="313" customFormat="1" ht="54" x14ac:dyDescent="0.2">
      <c r="B361" s="314" t="s">
        <v>741</v>
      </c>
      <c r="C361" s="315" t="str">
        <f>VLOOKUP(D361,Fontes!$A$6:$H$11629,8,FALSE)</f>
        <v>Custo Mercado Reajustado</v>
      </c>
      <c r="D361" s="315" t="s">
        <v>1730</v>
      </c>
      <c r="E361" s="204" t="str">
        <f>VLOOKUP(D361,Fontes!$A$6:$H$11629,2,FALSE)</f>
        <v>QLT.1PAV, Fornecimento, comissionamento e instalação, conforme diagrama</v>
      </c>
      <c r="F361" s="203">
        <v>1</v>
      </c>
      <c r="G361" s="203" t="str">
        <f>VLOOKUP(D361,Fontes!$A$6:$L$11629,3,FALSE)</f>
        <v>cj</v>
      </c>
      <c r="H361" s="203">
        <v>17436.560000000001</v>
      </c>
      <c r="I361" s="203">
        <v>8974.7000000000007</v>
      </c>
      <c r="J361" s="203">
        <v>0</v>
      </c>
      <c r="K361" s="316">
        <f t="shared" si="107"/>
        <v>26411.26</v>
      </c>
      <c r="L361" s="317">
        <f t="shared" si="108"/>
        <v>26411.26</v>
      </c>
      <c r="M361" s="318">
        <f t="shared" si="102"/>
        <v>9.5647123120500986E-4</v>
      </c>
    </row>
    <row r="362" spans="2:13" s="313" customFormat="1" ht="54" x14ac:dyDescent="0.2">
      <c r="B362" s="314" t="s">
        <v>742</v>
      </c>
      <c r="C362" s="315" t="str">
        <f>VLOOKUP(D362,Fontes!$A$6:$H$11629,8,FALSE)</f>
        <v>Custo Mercado Reajustado</v>
      </c>
      <c r="D362" s="315" t="s">
        <v>1731</v>
      </c>
      <c r="E362" s="204" t="str">
        <f>VLOOKUP(D362,Fontes!$A$6:$H$11629,2,FALSE)</f>
        <v>QLT.2PAV, Fornecimento, comissionamento e instalação, conforme diagrama</v>
      </c>
      <c r="F362" s="203">
        <v>1</v>
      </c>
      <c r="G362" s="203" t="str">
        <f>VLOOKUP(D362,Fontes!$A$6:$L$11629,3,FALSE)</f>
        <v>cj</v>
      </c>
      <c r="H362" s="203">
        <v>17436.560000000001</v>
      </c>
      <c r="I362" s="203">
        <v>8974.7000000000007</v>
      </c>
      <c r="J362" s="203">
        <v>0</v>
      </c>
      <c r="K362" s="316">
        <f t="shared" si="107"/>
        <v>26411.26</v>
      </c>
      <c r="L362" s="317">
        <f t="shared" si="108"/>
        <v>26411.26</v>
      </c>
      <c r="M362" s="318">
        <f t="shared" si="102"/>
        <v>9.5647123120500986E-4</v>
      </c>
    </row>
    <row r="363" spans="2:13" s="313" customFormat="1" ht="54" x14ac:dyDescent="0.2">
      <c r="B363" s="314" t="s">
        <v>743</v>
      </c>
      <c r="C363" s="315" t="str">
        <f>VLOOKUP(D363,Fontes!$A$6:$H$11629,8,FALSE)</f>
        <v>Custo Mercado Reajustado</v>
      </c>
      <c r="D363" s="315" t="s">
        <v>1732</v>
      </c>
      <c r="E363" s="204" t="str">
        <f>VLOOKUP(D363,Fontes!$A$6:$H$11629,2,FALSE)</f>
        <v>QLT.TER, Fornecimento, comissionamento e instalação,  conforme diagrama</v>
      </c>
      <c r="F363" s="203">
        <v>1</v>
      </c>
      <c r="G363" s="203" t="str">
        <f>VLOOKUP(D363,Fontes!$A$6:$L$11629,3,FALSE)</f>
        <v>cj</v>
      </c>
      <c r="H363" s="203">
        <v>5019.4215000000004</v>
      </c>
      <c r="I363" s="203">
        <v>1538.52</v>
      </c>
      <c r="J363" s="203">
        <v>0</v>
      </c>
      <c r="K363" s="316">
        <f t="shared" si="107"/>
        <v>6557.94</v>
      </c>
      <c r="L363" s="317">
        <f t="shared" si="108"/>
        <v>6557.94</v>
      </c>
      <c r="M363" s="318">
        <f t="shared" si="102"/>
        <v>2.3749268099926255E-4</v>
      </c>
    </row>
    <row r="364" spans="2:13" s="313" customFormat="1" ht="54" x14ac:dyDescent="0.2">
      <c r="B364" s="314" t="s">
        <v>744</v>
      </c>
      <c r="C364" s="315" t="str">
        <f>VLOOKUP(D364,Fontes!$A$6:$H$11629,8,FALSE)</f>
        <v>Custo Mercado Reajustado</v>
      </c>
      <c r="D364" s="315" t="s">
        <v>1733</v>
      </c>
      <c r="E364" s="204" t="str">
        <f>VLOOKUP(D364,Fontes!$A$6:$H$11629,2,FALSE)</f>
        <v>QLT.INF, Fornecimento, comissionamento e instalação,  conforme diagrama</v>
      </c>
      <c r="F364" s="203">
        <v>1</v>
      </c>
      <c r="G364" s="203" t="str">
        <f>VLOOKUP(D364,Fontes!$A$6:$L$11629,3,FALSE)</f>
        <v>cj</v>
      </c>
      <c r="H364" s="203">
        <v>5019.4215000000004</v>
      </c>
      <c r="I364" s="203">
        <v>1538.52</v>
      </c>
      <c r="J364" s="203">
        <v>0</v>
      </c>
      <c r="K364" s="316">
        <f t="shared" si="107"/>
        <v>6557.94</v>
      </c>
      <c r="L364" s="317">
        <f t="shared" si="108"/>
        <v>6557.94</v>
      </c>
      <c r="M364" s="318">
        <f t="shared" si="102"/>
        <v>2.3749268099926255E-4</v>
      </c>
    </row>
    <row r="365" spans="2:13" s="313" customFormat="1" ht="54" x14ac:dyDescent="0.2">
      <c r="B365" s="314" t="s">
        <v>745</v>
      </c>
      <c r="C365" s="315" t="str">
        <f>VLOOKUP(D365,Fontes!$A$6:$H$11629,8,FALSE)</f>
        <v>Custo Mercado Reajustado</v>
      </c>
      <c r="D365" s="315" t="s">
        <v>1734</v>
      </c>
      <c r="E365" s="204" t="str">
        <f>VLOOKUP(D365,Fontes!$A$6:$H$11629,2,FALSE)</f>
        <v>QF.AR.COND.TER, Fornecimento, comissionamento e instalação,  conforme diagrama</v>
      </c>
      <c r="F365" s="203">
        <v>1</v>
      </c>
      <c r="G365" s="203" t="str">
        <f>VLOOKUP(D365,Fontes!$A$6:$L$11629,3,FALSE)</f>
        <v>cj</v>
      </c>
      <c r="H365" s="203">
        <v>5019.4215000000004</v>
      </c>
      <c r="I365" s="203">
        <v>1538.52</v>
      </c>
      <c r="J365" s="203">
        <v>0</v>
      </c>
      <c r="K365" s="316">
        <f t="shared" si="107"/>
        <v>6557.94</v>
      </c>
      <c r="L365" s="317">
        <f t="shared" si="108"/>
        <v>6557.94</v>
      </c>
      <c r="M365" s="318">
        <f t="shared" si="102"/>
        <v>2.3749268099926255E-4</v>
      </c>
    </row>
    <row r="366" spans="2:13" s="313" customFormat="1" ht="54" x14ac:dyDescent="0.2">
      <c r="B366" s="314" t="s">
        <v>746</v>
      </c>
      <c r="C366" s="315" t="str">
        <f>VLOOKUP(D366,Fontes!$A$6:$H$11629,8,FALSE)</f>
        <v>Custo Mercado Reajustado</v>
      </c>
      <c r="D366" s="315" t="s">
        <v>1735</v>
      </c>
      <c r="E366" s="204" t="str">
        <f>VLOOKUP(D366,Fontes!$A$6:$H$11629,2,FALSE)</f>
        <v>QF.AR.COND.1PAV, Fornecimento, comissionamento e instalação,  conforme diagrama</v>
      </c>
      <c r="F366" s="203">
        <v>1</v>
      </c>
      <c r="G366" s="203" t="str">
        <f>VLOOKUP(D366,Fontes!$A$6:$L$11629,3,FALSE)</f>
        <v>cj</v>
      </c>
      <c r="H366" s="203">
        <v>5019.4215000000004</v>
      </c>
      <c r="I366" s="203">
        <v>1538.52</v>
      </c>
      <c r="J366" s="203">
        <v>0</v>
      </c>
      <c r="K366" s="316">
        <f t="shared" si="107"/>
        <v>6557.94</v>
      </c>
      <c r="L366" s="317">
        <f t="shared" si="108"/>
        <v>6557.94</v>
      </c>
      <c r="M366" s="318">
        <f t="shared" si="102"/>
        <v>2.3749268099926255E-4</v>
      </c>
    </row>
    <row r="367" spans="2:13" s="313" customFormat="1" ht="54" x14ac:dyDescent="0.2">
      <c r="B367" s="314" t="s">
        <v>747</v>
      </c>
      <c r="C367" s="315" t="str">
        <f>VLOOKUP(D367,Fontes!$A$6:$H$11629,8,FALSE)</f>
        <v>Custo Mercado Reajustado</v>
      </c>
      <c r="D367" s="315" t="s">
        <v>1736</v>
      </c>
      <c r="E367" s="204" t="str">
        <f>VLOOKUP(D367,Fontes!$A$6:$H$11629,2,FALSE)</f>
        <v>QF.AR.COND.2PAV, Fornecimento, comissionamento e instalação,  conforme diagrama</v>
      </c>
      <c r="F367" s="203">
        <v>1</v>
      </c>
      <c r="G367" s="203" t="str">
        <f>VLOOKUP(D367,Fontes!$A$6:$L$11629,3,FALSE)</f>
        <v>cj</v>
      </c>
      <c r="H367" s="203">
        <v>5019.4215000000004</v>
      </c>
      <c r="I367" s="203">
        <v>1538.52</v>
      </c>
      <c r="J367" s="203">
        <v>0</v>
      </c>
      <c r="K367" s="316">
        <f t="shared" si="107"/>
        <v>6557.94</v>
      </c>
      <c r="L367" s="317">
        <f t="shared" si="108"/>
        <v>6557.94</v>
      </c>
      <c r="M367" s="318">
        <f t="shared" si="102"/>
        <v>2.3749268099926255E-4</v>
      </c>
    </row>
    <row r="368" spans="2:13" s="313" customFormat="1" ht="54" x14ac:dyDescent="0.2">
      <c r="B368" s="314" t="s">
        <v>748</v>
      </c>
      <c r="C368" s="315" t="str">
        <f>VLOOKUP(D368,Fontes!$A$6:$H$11629,8,FALSE)</f>
        <v>Custo Mercado Reajustado</v>
      </c>
      <c r="D368" s="315" t="s">
        <v>1737</v>
      </c>
      <c r="E368" s="204" t="str">
        <f>VLOOKUP(D368,Fontes!$A$6:$H$11629,2,FALSE)</f>
        <v>QF-AAER (Previsão de cargas para equipamento específico, deverá ser elaborado diagrama conforme as necessidades do equipamento)</v>
      </c>
      <c r="F368" s="203">
        <v>1</v>
      </c>
      <c r="G368" s="203" t="str">
        <f>VLOOKUP(D368,Fontes!$A$6:$L$11629,3,FALSE)</f>
        <v>cj</v>
      </c>
      <c r="H368" s="203">
        <v>10897.85</v>
      </c>
      <c r="I368" s="203">
        <v>9615.75</v>
      </c>
      <c r="J368" s="203">
        <v>0</v>
      </c>
      <c r="K368" s="316">
        <f t="shared" si="107"/>
        <v>20513.599999999999</v>
      </c>
      <c r="L368" s="317">
        <f t="shared" si="108"/>
        <v>20513.599999999999</v>
      </c>
      <c r="M368" s="318">
        <f t="shared" si="102"/>
        <v>7.4289027666408537E-4</v>
      </c>
    </row>
    <row r="369" spans="2:13" s="313" customFormat="1" ht="54" x14ac:dyDescent="0.2">
      <c r="B369" s="314" t="s">
        <v>749</v>
      </c>
      <c r="C369" s="315" t="str">
        <f>VLOOKUP(D369,Fontes!$A$6:$H$11629,8,FALSE)</f>
        <v>Custo Mercado Reajustado</v>
      </c>
      <c r="D369" s="315" t="s">
        <v>1738</v>
      </c>
      <c r="E369" s="204" t="str">
        <f>VLOOKUP(D369,Fontes!$A$6:$H$11629,2,FALSE)</f>
        <v>QF-ICPMS (Previsão de cargas para equipamento específico, deverá ser elaborado diagrama conforme as necessidades do equipamento)</v>
      </c>
      <c r="F369" s="203">
        <v>1</v>
      </c>
      <c r="G369" s="203" t="str">
        <f>VLOOKUP(D369,Fontes!$A$6:$L$11629,3,FALSE)</f>
        <v>cj</v>
      </c>
      <c r="H369" s="203">
        <v>17436.560000000001</v>
      </c>
      <c r="I369" s="203">
        <v>9615.75</v>
      </c>
      <c r="J369" s="203">
        <v>0</v>
      </c>
      <c r="K369" s="316">
        <f t="shared" si="107"/>
        <v>27052.31</v>
      </c>
      <c r="L369" s="317">
        <f t="shared" si="108"/>
        <v>27052.31</v>
      </c>
      <c r="M369" s="318">
        <f t="shared" si="102"/>
        <v>9.7968655235076258E-4</v>
      </c>
    </row>
    <row r="370" spans="2:13" s="313" customFormat="1" ht="54" x14ac:dyDescent="0.2">
      <c r="B370" s="314" t="s">
        <v>750</v>
      </c>
      <c r="C370" s="315" t="str">
        <f>VLOOKUP(D370,Fontes!$A$6:$H$11629,8,FALSE)</f>
        <v>Custo Mercado Reajustado</v>
      </c>
      <c r="D370" s="315" t="s">
        <v>1739</v>
      </c>
      <c r="E370" s="204" t="str">
        <f>VLOOKUP(D370,Fontes!$A$6:$H$11629,2,FALSE)</f>
        <v>QF-TOM (Previsão de cargas para equipamento específico, deverá ser elaborado diagrama conforme as necessidades do equipamento)</v>
      </c>
      <c r="F370" s="203">
        <v>1</v>
      </c>
      <c r="G370" s="203" t="str">
        <f>VLOOKUP(D370,Fontes!$A$6:$L$11629,3,FALSE)</f>
        <v>cj</v>
      </c>
      <c r="H370" s="203">
        <v>17436.560000000001</v>
      </c>
      <c r="I370" s="203">
        <v>9615.75</v>
      </c>
      <c r="J370" s="203">
        <v>0</v>
      </c>
      <c r="K370" s="316">
        <f t="shared" si="107"/>
        <v>27052.31</v>
      </c>
      <c r="L370" s="317">
        <f t="shared" si="108"/>
        <v>27052.31</v>
      </c>
      <c r="M370" s="318">
        <f t="shared" si="102"/>
        <v>9.7968655235076258E-4</v>
      </c>
    </row>
    <row r="371" spans="2:13" s="313" customFormat="1" ht="54" x14ac:dyDescent="0.2">
      <c r="B371" s="314" t="s">
        <v>751</v>
      </c>
      <c r="C371" s="315" t="str">
        <f>VLOOKUP(D371,Fontes!$A$6:$H$11629,8,FALSE)</f>
        <v>Custo Mercado Reajustado</v>
      </c>
      <c r="D371" s="315" t="s">
        <v>1740</v>
      </c>
      <c r="E371" s="204" t="str">
        <f>VLOOKUP(D371,Fontes!$A$6:$H$11629,2,FALSE)</f>
        <v>QF-MEV (Previsão de cargas para equipamento específico, deverá ser elaborado diagrama conforme as necessidades do equipamento)</v>
      </c>
      <c r="F371" s="203">
        <v>1</v>
      </c>
      <c r="G371" s="203" t="str">
        <f>VLOOKUP(D371,Fontes!$A$6:$L$11629,3,FALSE)</f>
        <v>cj</v>
      </c>
      <c r="H371" s="203">
        <v>17436.560000000001</v>
      </c>
      <c r="I371" s="203">
        <v>9615.75</v>
      </c>
      <c r="J371" s="203">
        <v>0</v>
      </c>
      <c r="K371" s="316">
        <f t="shared" si="107"/>
        <v>27052.31</v>
      </c>
      <c r="L371" s="317">
        <f t="shared" si="108"/>
        <v>27052.31</v>
      </c>
      <c r="M371" s="318">
        <f t="shared" si="102"/>
        <v>9.7968655235076258E-4</v>
      </c>
    </row>
    <row r="372" spans="2:13" s="313" customFormat="1" ht="54" x14ac:dyDescent="0.2">
      <c r="B372" s="314" t="s">
        <v>752</v>
      </c>
      <c r="C372" s="315" t="str">
        <f>VLOOKUP(D372,Fontes!$A$6:$H$11629,8,FALSE)</f>
        <v>Custo Mercado Reajustado</v>
      </c>
      <c r="D372" s="315" t="s">
        <v>1741</v>
      </c>
      <c r="E372" s="204" t="str">
        <f>VLOOKUP(D372,Fontes!$A$6:$H$11629,2,FALSE)</f>
        <v>QF-EPMA (Previsão de cargas para equipamento específico, deverá ser elaborado diagrama conforme as necessidades do equipamento)</v>
      </c>
      <c r="F372" s="203">
        <v>1</v>
      </c>
      <c r="G372" s="203" t="str">
        <f>VLOOKUP(D372,Fontes!$A$6:$L$11629,3,FALSE)</f>
        <v>cj</v>
      </c>
      <c r="H372" s="203">
        <v>17436.560000000001</v>
      </c>
      <c r="I372" s="203">
        <v>9615.75</v>
      </c>
      <c r="J372" s="203">
        <v>0</v>
      </c>
      <c r="K372" s="316">
        <f t="shared" si="107"/>
        <v>27052.31</v>
      </c>
      <c r="L372" s="317">
        <f t="shared" si="108"/>
        <v>27052.31</v>
      </c>
      <c r="M372" s="318">
        <f t="shared" si="102"/>
        <v>9.7968655235076258E-4</v>
      </c>
    </row>
    <row r="373" spans="2:13" s="313" customFormat="1" ht="54" x14ac:dyDescent="0.2">
      <c r="B373" s="314" t="s">
        <v>753</v>
      </c>
      <c r="C373" s="315" t="str">
        <f>VLOOKUP(D373,Fontes!$A$6:$H$11629,8,FALSE)</f>
        <v>Custo Mercado Reajustado</v>
      </c>
      <c r="D373" s="315" t="s">
        <v>1742</v>
      </c>
      <c r="E373" s="204" t="str">
        <f>VLOOKUP(D373,Fontes!$A$6:$H$11629,2,FALSE)</f>
        <v>QF-SIMS (Previsão de cargas para equipamento específico, deverá ser elaborado diagrama conforme as necessidades do equipamento)</v>
      </c>
      <c r="F373" s="203">
        <v>1</v>
      </c>
      <c r="G373" s="203" t="str">
        <f>VLOOKUP(D373,Fontes!$A$6:$L$11629,3,FALSE)</f>
        <v>cj</v>
      </c>
      <c r="H373" s="203">
        <v>17436.560000000001</v>
      </c>
      <c r="I373" s="203">
        <v>9615.75</v>
      </c>
      <c r="J373" s="203">
        <v>0</v>
      </c>
      <c r="K373" s="316">
        <f t="shared" si="107"/>
        <v>27052.31</v>
      </c>
      <c r="L373" s="317">
        <f t="shared" si="108"/>
        <v>27052.31</v>
      </c>
      <c r="M373" s="318">
        <f t="shared" si="102"/>
        <v>9.7968655235076258E-4</v>
      </c>
    </row>
    <row r="374" spans="2:13" s="313" customFormat="1" ht="54" x14ac:dyDescent="0.2">
      <c r="B374" s="314" t="s">
        <v>754</v>
      </c>
      <c r="C374" s="315" t="str">
        <f>VLOOKUP(D374,Fontes!$A$6:$H$11629,8,FALSE)</f>
        <v>Custo Mercado Reajustado</v>
      </c>
      <c r="D374" s="315" t="s">
        <v>1743</v>
      </c>
      <c r="E374" s="204" t="str">
        <f>VLOOKUP(D374,Fontes!$A$6:$H$11629,2,FALSE)</f>
        <v>QDF.AR.COND., Fornecimento, comissionamento e instalação,  conforme diagrama</v>
      </c>
      <c r="F374" s="203">
        <v>1</v>
      </c>
      <c r="G374" s="203" t="str">
        <f>VLOOKUP(D374,Fontes!$A$6:$L$11629,3,FALSE)</f>
        <v>cj</v>
      </c>
      <c r="H374" s="203">
        <v>5019.4215000000004</v>
      </c>
      <c r="I374" s="203">
        <v>1538.52</v>
      </c>
      <c r="J374" s="203">
        <v>0</v>
      </c>
      <c r="K374" s="316">
        <f t="shared" si="107"/>
        <v>6557.94</v>
      </c>
      <c r="L374" s="317">
        <f t="shared" si="108"/>
        <v>6557.94</v>
      </c>
      <c r="M374" s="318">
        <f t="shared" si="102"/>
        <v>2.3749268099926255E-4</v>
      </c>
    </row>
    <row r="375" spans="2:13" s="313" customFormat="1" ht="54" x14ac:dyDescent="0.2">
      <c r="B375" s="314" t="s">
        <v>755</v>
      </c>
      <c r="C375" s="315" t="str">
        <f>VLOOKUP(D375,Fontes!$A$6:$H$11629,8,FALSE)</f>
        <v>Custo Mercado Reajustado</v>
      </c>
      <c r="D375" s="315" t="s">
        <v>1744</v>
      </c>
      <c r="E375" s="204" t="str">
        <f>VLOOKUP(D375,Fontes!$A$6:$H$11629,2,FALSE)</f>
        <v>Chave-boia elétrica de regulagem de nível de água em reservatórios para acionamento de bombas elétricas - fornecimento e instalação</v>
      </c>
      <c r="F375" s="203">
        <v>4</v>
      </c>
      <c r="G375" s="203" t="str">
        <f>VLOOKUP(D375,Fontes!$A$6:$L$11629,3,FALSE)</f>
        <v>un</v>
      </c>
      <c r="H375" s="203">
        <v>328.85865000000001</v>
      </c>
      <c r="I375" s="203">
        <v>332.15966473678679</v>
      </c>
      <c r="J375" s="203">
        <v>0</v>
      </c>
      <c r="K375" s="316">
        <f t="shared" si="107"/>
        <v>661.02</v>
      </c>
      <c r="L375" s="317">
        <f t="shared" si="108"/>
        <v>2644.08</v>
      </c>
      <c r="M375" s="318">
        <f t="shared" si="102"/>
        <v>9.5754100826864861E-5</v>
      </c>
    </row>
    <row r="376" spans="2:13" s="313" customFormat="1" ht="162" x14ac:dyDescent="0.2">
      <c r="B376" s="314" t="s">
        <v>756</v>
      </c>
      <c r="C376" s="315" t="str">
        <f>VLOOKUP(D376,Fontes!$A$6:$H$11629,8,FALSE)</f>
        <v>Custo Mercado Reajustado</v>
      </c>
      <c r="D376" s="315" t="s">
        <v>1745</v>
      </c>
      <c r="E376" s="204" t="str">
        <f>VLOOKUP(D376,Fontes!$A$6:$H$11629,2,FALSE)</f>
        <v>Módulo de entrada de energia em média tensão tipo cubículo compacto, grau de proteção IP 44, composto por 03 muflas unipolares classe 15 kV, pára-raios de média tensão classe 15 kV,jogo de barras tripolar de 630 A, chave seccionadora de 3 posições 630A - 15KV - NBI 95kV, funcionamento sob carga, com contatos selados a gás SF6, indicadores de presença de tensão, resistência de aquecimento de 50W, conforme diagrama de projeto - Referência DM1-A SM6-24kV schneider electric</v>
      </c>
      <c r="F376" s="203">
        <v>1</v>
      </c>
      <c r="G376" s="203" t="str">
        <f>VLOOKUP(D376,Fontes!$A$6:$L$11629,3,FALSE)</f>
        <v>cj</v>
      </c>
      <c r="H376" s="203">
        <v>72695.070000000007</v>
      </c>
      <c r="I376" s="203">
        <v>7692.6</v>
      </c>
      <c r="J376" s="203">
        <v>0</v>
      </c>
      <c r="K376" s="316">
        <f t="shared" si="107"/>
        <v>80387.67</v>
      </c>
      <c r="L376" s="317">
        <f t="shared" si="108"/>
        <v>80387.67</v>
      </c>
      <c r="M376" s="318">
        <f t="shared" si="102"/>
        <v>2.9112012716773846E-3</v>
      </c>
    </row>
    <row r="377" spans="2:13" s="313" customFormat="1" ht="180" x14ac:dyDescent="0.2">
      <c r="B377" s="314" t="s">
        <v>2033</v>
      </c>
      <c r="C377" s="315" t="str">
        <f>VLOOKUP(D377,Fontes!$A$6:$H$11629,8,FALSE)</f>
        <v>Custo Mercado Reajustado</v>
      </c>
      <c r="D377" s="315" t="s">
        <v>1746</v>
      </c>
      <c r="E377" s="204" t="str">
        <f>VLOOKUP(D377,Fontes!$A$6:$H$11629,2,FALSE)</f>
        <v>Módulo de saída de energia em média tensão tipo cubículo compacto, grau de proteção IP 44, composto por 03 muflas unipolares classe 15 kV, chave  seccionadora de 3 posições  630A -  15KV -  NBI  95kV,  funcionamento  sob carga,  com  contatos  selados  a gás  SF6,  e  chave de terra com intertravamentos de segurança, indicadores de presença de tensão,  equipamento para três fusíveis DIN com sistema “striker pin”, mecanismo de sinalização de queima de fusível, resistência de aquecimento de 50W, conforme diagrama de projeto - Referência QM SM6-24kV schneider electric</v>
      </c>
      <c r="F377" s="203">
        <v>1</v>
      </c>
      <c r="G377" s="203" t="str">
        <f>VLOOKUP(D377,Fontes!$A$6:$L$11629,3,FALSE)</f>
        <v>cj</v>
      </c>
      <c r="H377" s="203">
        <v>135005.13</v>
      </c>
      <c r="I377" s="203">
        <v>7692.6</v>
      </c>
      <c r="J377" s="203">
        <v>0</v>
      </c>
      <c r="K377" s="316">
        <f t="shared" ref="K377" si="109">ROUND(+H377+I377+J377,2)</f>
        <v>142697.73000000001</v>
      </c>
      <c r="L377" s="317">
        <f t="shared" ref="L377" si="110">ROUND(F377*K377,2)</f>
        <v>142697.73000000001</v>
      </c>
      <c r="M377" s="318">
        <f t="shared" si="102"/>
        <v>5.1677304870445442E-3</v>
      </c>
    </row>
    <row r="378" spans="2:13" s="109" customFormat="1" ht="18" x14ac:dyDescent="0.2">
      <c r="B378" s="114"/>
      <c r="C378" s="115"/>
      <c r="D378" s="115"/>
      <c r="E378" s="116"/>
      <c r="F378" s="117"/>
      <c r="G378" s="117"/>
      <c r="H378" s="117"/>
      <c r="I378" s="117"/>
      <c r="J378" s="117"/>
      <c r="K378" s="118"/>
      <c r="L378" s="119"/>
      <c r="M378" s="120">
        <f t="shared" si="102"/>
        <v>0</v>
      </c>
    </row>
    <row r="379" spans="2:13" s="109" customFormat="1" ht="25.5" customHeight="1" x14ac:dyDescent="0.2">
      <c r="B379" s="217" t="s">
        <v>757</v>
      </c>
      <c r="C379" s="218"/>
      <c r="D379" s="218"/>
      <c r="E379" s="311" t="s">
        <v>408</v>
      </c>
      <c r="F379" s="219"/>
      <c r="G379" s="220"/>
      <c r="H379" s="221"/>
      <c r="I379" s="221"/>
      <c r="J379" s="219"/>
      <c r="K379" s="219"/>
      <c r="L379" s="222">
        <f>SUBTOTAL(9,L380:L381)</f>
        <v>205959.48</v>
      </c>
      <c r="M379" s="223">
        <f t="shared" si="102"/>
        <v>7.4587247035523344E-3</v>
      </c>
    </row>
    <row r="380" spans="2:13" s="313" customFormat="1" ht="54" x14ac:dyDescent="0.2">
      <c r="B380" s="314" t="s">
        <v>758</v>
      </c>
      <c r="C380" s="315" t="str">
        <f>VLOOKUP(D380,Fontes!$A$6:$H$11629,8,FALSE)</f>
        <v>Custo Mercado Reajustado</v>
      </c>
      <c r="D380" s="315" t="s">
        <v>1747</v>
      </c>
      <c r="E380" s="204" t="str">
        <f>VLOOKUP(D380,Fontes!$A$6:$H$11629,2,FALSE)</f>
        <v>Cofre "plug-in" para instalação em barramento blindado, equipado com disjuntor tipo caixa moldada de 2500A</v>
      </c>
      <c r="F380" s="203">
        <v>4</v>
      </c>
      <c r="G380" s="203" t="str">
        <f>VLOOKUP(D380,Fontes!$A$6:$L$11629,3,FALSE)</f>
        <v>un</v>
      </c>
      <c r="H380" s="203">
        <v>6577.1729999999998</v>
      </c>
      <c r="I380" s="203">
        <v>6643.1932947357363</v>
      </c>
      <c r="J380" s="203">
        <v>0</v>
      </c>
      <c r="K380" s="316">
        <f t="shared" ref="K380:K381" si="111">ROUND(+H380+I380+J380,2)</f>
        <v>13220.37</v>
      </c>
      <c r="L380" s="317">
        <f t="shared" ref="L380:L381" si="112">ROUND(F380*K380,2)</f>
        <v>52881.48</v>
      </c>
      <c r="M380" s="318">
        <f t="shared" si="102"/>
        <v>1.9150776707943171E-3</v>
      </c>
    </row>
    <row r="381" spans="2:13" s="313" customFormat="1" ht="72" x14ac:dyDescent="0.2">
      <c r="B381" s="314" t="s">
        <v>759</v>
      </c>
      <c r="C381" s="315" t="str">
        <f>VLOOKUP(D381,Fontes!$A$6:$H$11629,8,FALSE)</f>
        <v>Custo Mercado Reajustado</v>
      </c>
      <c r="D381" s="315" t="s">
        <v>1748</v>
      </c>
      <c r="E381" s="204" t="str">
        <f>VLOOKUP(D381,Fontes!$A$6:$H$11629,2,FALSE)</f>
        <v>Barramento blindado tipo "bus-way", condutores em alumínio, corrente nominal (ith) 2500A, corrente de curto circuito (lcc) 75kA, grau de proteção IP 31, condutores (NFFF). Obs.: neutro com seção igual a fase, inclusive acessórios e fixações</v>
      </c>
      <c r="F381" s="203">
        <v>20</v>
      </c>
      <c r="G381" s="203" t="str">
        <f>VLOOKUP(D381,Fontes!$A$6:$L$11629,3,FALSE)</f>
        <v>m</v>
      </c>
      <c r="H381" s="203">
        <v>3807.837</v>
      </c>
      <c r="I381" s="203">
        <v>3846.0592758996377</v>
      </c>
      <c r="J381" s="203">
        <v>0</v>
      </c>
      <c r="K381" s="316">
        <f t="shared" si="111"/>
        <v>7653.9</v>
      </c>
      <c r="L381" s="317">
        <f t="shared" si="112"/>
        <v>153078</v>
      </c>
      <c r="M381" s="318">
        <f t="shared" si="102"/>
        <v>5.5436470327580173E-3</v>
      </c>
    </row>
    <row r="382" spans="2:13" s="109" customFormat="1" ht="18" x14ac:dyDescent="0.2">
      <c r="B382" s="114"/>
      <c r="C382" s="115"/>
      <c r="D382" s="115"/>
      <c r="E382" s="116"/>
      <c r="F382" s="117"/>
      <c r="G382" s="117"/>
      <c r="H382" s="117"/>
      <c r="I382" s="117"/>
      <c r="J382" s="117"/>
      <c r="K382" s="118"/>
      <c r="L382" s="119"/>
      <c r="M382" s="120">
        <f t="shared" si="102"/>
        <v>0</v>
      </c>
    </row>
    <row r="383" spans="2:13" s="109" customFormat="1" ht="25.5" customHeight="1" x14ac:dyDescent="0.2">
      <c r="B383" s="217" t="s">
        <v>760</v>
      </c>
      <c r="C383" s="218"/>
      <c r="D383" s="218"/>
      <c r="E383" s="311" t="s">
        <v>411</v>
      </c>
      <c r="F383" s="219"/>
      <c r="G383" s="220"/>
      <c r="H383" s="221"/>
      <c r="I383" s="221"/>
      <c r="J383" s="219"/>
      <c r="K383" s="219"/>
      <c r="L383" s="222">
        <f>SUBTOTAL(9,L384:L396)</f>
        <v>1490712.4499999995</v>
      </c>
      <c r="M383" s="223">
        <f t="shared" si="102"/>
        <v>5.3985443043010305E-2</v>
      </c>
    </row>
    <row r="384" spans="2:13" s="313" customFormat="1" ht="54" x14ac:dyDescent="0.2">
      <c r="B384" s="314" t="s">
        <v>761</v>
      </c>
      <c r="C384" s="315" t="str">
        <f>VLOOKUP(D384,Fontes!$A$6:$H$11629,8,FALSE)</f>
        <v>Custo Mercado Reajustado</v>
      </c>
      <c r="D384" s="315" t="s">
        <v>1749</v>
      </c>
      <c r="E384" s="204" t="str">
        <f>VLOOKUP(D384,Fontes!$A$6:$H$11629,2,FALSE)</f>
        <v>Transformador de 750kVA a seco, IP 21, Tap's primários:  13,8 / 13,2 / 12,6 / 12 / 11,4kV, Tap's secundários: 220/127V - neutro aterrado, isolamento classe  15 kV, frequência 60Hz</v>
      </c>
      <c r="F384" s="203">
        <v>1</v>
      </c>
      <c r="G384" s="203" t="str">
        <f>VLOOKUP(D384,Fontes!$A$6:$L$11629,3,FALSE)</f>
        <v>un</v>
      </c>
      <c r="H384" s="203">
        <v>155775.15000000002</v>
      </c>
      <c r="I384" s="203">
        <v>15385.2</v>
      </c>
      <c r="J384" s="203">
        <v>0</v>
      </c>
      <c r="K384" s="316">
        <f t="shared" ref="K384:K385" si="113">ROUND(+H384+I384+J384,2)</f>
        <v>171160.35</v>
      </c>
      <c r="L384" s="317">
        <f t="shared" ref="L384:L385" si="114">ROUND(F384*K384,2)</f>
        <v>171160.35</v>
      </c>
      <c r="M384" s="318">
        <f t="shared" si="102"/>
        <v>6.1984907459159628E-3</v>
      </c>
    </row>
    <row r="385" spans="2:13" s="313" customFormat="1" ht="72" x14ac:dyDescent="0.2">
      <c r="B385" s="314" t="s">
        <v>762</v>
      </c>
      <c r="C385" s="315" t="str">
        <f>VLOOKUP(D385,Fontes!$A$6:$H$11629,8,FALSE)</f>
        <v>Custo Mercado Reajustado</v>
      </c>
      <c r="D385" s="315" t="s">
        <v>1750</v>
      </c>
      <c r="E385" s="204" t="str">
        <f>VLOOKUP(D385,Fontes!$A$6:$H$11629,2,FALSE)</f>
        <v>Grupo gerador a diesel, com potência intermitente de 750 kVA e potência contínua de 680 kVA, tensão 220/127V e frequência de 60Hz, equipado com sistema de comando Paralelismo e Sincronismo e atenuação de ruídos</v>
      </c>
      <c r="F385" s="203">
        <v>1</v>
      </c>
      <c r="G385" s="203" t="str">
        <f>VLOOKUP(D385,Fontes!$A$6:$L$11629,3,FALSE)</f>
        <v>cj</v>
      </c>
      <c r="H385" s="203">
        <v>892456.98900000006</v>
      </c>
      <c r="I385" s="203">
        <v>32052.5</v>
      </c>
      <c r="J385" s="203">
        <v>0</v>
      </c>
      <c r="K385" s="316">
        <f t="shared" si="113"/>
        <v>924509.49</v>
      </c>
      <c r="L385" s="317">
        <f t="shared" si="114"/>
        <v>924509.49</v>
      </c>
      <c r="M385" s="318">
        <f t="shared" si="102"/>
        <v>3.3480671886196106E-2</v>
      </c>
    </row>
    <row r="386" spans="2:13" s="313" customFormat="1" ht="126" x14ac:dyDescent="0.2">
      <c r="B386" s="314" t="s">
        <v>763</v>
      </c>
      <c r="C386" s="315" t="str">
        <f>VLOOKUP(D386,Fontes!$A$6:$H$11629,8,FALSE)</f>
        <v>Custo Mercado Reajustado</v>
      </c>
      <c r="D386" s="315" t="s">
        <v>1751</v>
      </c>
      <c r="E386" s="204" t="str">
        <f>VLOOKUP(D386,Fontes!$A$6:$H$11629,2,FALSE)</f>
        <v>No-breaks de 5 KVA, tensão de entrada: 220 VCA três fios mais um terra. As UPSs devem possuir tecnologia dupla conversão, true on line, com retificador de 6 pulsos e inversor com IGBT, controlado por microprocessador (DSP). Deve possuir entradas distintas para o ramo do retificador e ramo do by-pass, além de porta de comunicação RS 232 Incluso baterias e gabinetes de montagem igual ao da UPS.</v>
      </c>
      <c r="F386" s="203">
        <v>1</v>
      </c>
      <c r="G386" s="203" t="str">
        <f>VLOOKUP(D386,Fontes!$A$6:$L$11629,3,FALSE)</f>
        <v>un</v>
      </c>
      <c r="H386" s="203">
        <v>20770.020000000004</v>
      </c>
      <c r="I386" s="203">
        <v>5769.45</v>
      </c>
      <c r="J386" s="203">
        <v>0</v>
      </c>
      <c r="K386" s="316">
        <f t="shared" ref="K386:K396" si="115">ROUND(+H386+I386+J386,2)</f>
        <v>26539.47</v>
      </c>
      <c r="L386" s="317">
        <f t="shared" ref="L386:L396" si="116">ROUND(F386*K386,2)</f>
        <v>26539.47</v>
      </c>
      <c r="M386" s="318">
        <f t="shared" si="102"/>
        <v>9.6111429543416053E-4</v>
      </c>
    </row>
    <row r="387" spans="2:13" s="313" customFormat="1" ht="126" x14ac:dyDescent="0.2">
      <c r="B387" s="314" t="s">
        <v>764</v>
      </c>
      <c r="C387" s="315" t="str">
        <f>VLOOKUP(D387,Fontes!$A$6:$H$11629,8,FALSE)</f>
        <v>Custo Mercado Reajustado</v>
      </c>
      <c r="D387" s="315" t="s">
        <v>1752</v>
      </c>
      <c r="E387" s="204" t="str">
        <f>VLOOKUP(D387,Fontes!$A$6:$H$11629,2,FALSE)</f>
        <v>No-breaks de 3 KVA, tensão de entrada: 220 VCA três fios mais um terra. As UPSs devem possuir tecnologia dupla conversão, true on line, com retificador de 6 pulsos e inversor com IGBT, controlado por microprocessador (DSP). Deve possuir entradas distintas para o ramo do retificador e ramo do by-pass, além de porta de comunicação RS 232 Incluso baterias e gabinetes de montagem igual ao da UPS.</v>
      </c>
      <c r="F387" s="203">
        <v>1</v>
      </c>
      <c r="G387" s="203" t="str">
        <f>VLOOKUP(D387,Fontes!$A$6:$L$11629,3,FALSE)</f>
        <v>un</v>
      </c>
      <c r="H387" s="203">
        <v>9519.5925000000007</v>
      </c>
      <c r="I387" s="203">
        <v>3846.3</v>
      </c>
      <c r="J387" s="203">
        <v>0</v>
      </c>
      <c r="K387" s="316">
        <f t="shared" si="115"/>
        <v>13365.89</v>
      </c>
      <c r="L387" s="317">
        <f t="shared" si="116"/>
        <v>13365.89</v>
      </c>
      <c r="M387" s="318">
        <f t="shared" si="102"/>
        <v>4.8403935535263102E-4</v>
      </c>
    </row>
    <row r="388" spans="2:13" s="313" customFormat="1" ht="54" x14ac:dyDescent="0.2">
      <c r="B388" s="314" t="s">
        <v>765</v>
      </c>
      <c r="C388" s="315" t="str">
        <f>VLOOKUP(D388,Fontes!$A$6:$H$11629,8,FALSE)</f>
        <v>Custo Mercado Reajustado</v>
      </c>
      <c r="D388" s="315" t="s">
        <v>1753</v>
      </c>
      <c r="E388" s="204" t="str">
        <f>VLOOKUP(D388,Fontes!$A$6:$H$11629,2,FALSE)</f>
        <v>Banco de Capacitores Automático (deverá ser reavaliado a necessidade e especificações após devida análise do consumo. Energético)</v>
      </c>
      <c r="F388" s="203">
        <v>1</v>
      </c>
      <c r="G388" s="203" t="str">
        <f>VLOOKUP(D388,Fontes!$A$6:$L$11629,3,FALSE)</f>
        <v>un</v>
      </c>
      <c r="H388" s="203">
        <v>261548.4</v>
      </c>
      <c r="I388" s="203">
        <v>82695.45</v>
      </c>
      <c r="J388" s="203">
        <v>0</v>
      </c>
      <c r="K388" s="316">
        <f t="shared" ref="K388" si="117">ROUND(+H388+I388+J388,2)</f>
        <v>344243.85</v>
      </c>
      <c r="L388" s="317">
        <f t="shared" ref="L388" si="118">ROUND(F388*K388,2)</f>
        <v>344243.85</v>
      </c>
      <c r="M388" s="318">
        <f t="shared" si="102"/>
        <v>1.2466627455269183E-2</v>
      </c>
    </row>
    <row r="389" spans="2:13" s="313" customFormat="1" ht="54" x14ac:dyDescent="0.2">
      <c r="B389" s="314" t="s">
        <v>766</v>
      </c>
      <c r="C389" s="315" t="str">
        <f>VLOOKUP(D389,Fontes!$A$6:$H$11629,8,FALSE)</f>
        <v>Custo Mercado Reajustado</v>
      </c>
      <c r="D389" s="315" t="s">
        <v>1754</v>
      </c>
      <c r="E389" s="204" t="str">
        <f>VLOOKUP(D389,Fontes!$A$6:$H$11629,2,FALSE)</f>
        <v>Estrado (tapete) de Borracha Isolante - Dimensões 1.000 x 1.000 x 25mm para isolação piso de subestações e cabines</v>
      </c>
      <c r="F389" s="203">
        <v>1</v>
      </c>
      <c r="G389" s="203" t="str">
        <f>VLOOKUP(D389,Fontes!$A$6:$L$11629,3,FALSE)</f>
        <v>un</v>
      </c>
      <c r="H389" s="203">
        <v>1743.6559999999999</v>
      </c>
      <c r="I389" s="203">
        <v>961.57500000000005</v>
      </c>
      <c r="J389" s="203">
        <v>0</v>
      </c>
      <c r="K389" s="316">
        <f t="shared" si="115"/>
        <v>2705.23</v>
      </c>
      <c r="L389" s="317">
        <f t="shared" si="116"/>
        <v>2705.23</v>
      </c>
      <c r="M389" s="318">
        <f t="shared" si="102"/>
        <v>9.7968619020551433E-5</v>
      </c>
    </row>
    <row r="390" spans="2:13" s="313" customFormat="1" ht="54" x14ac:dyDescent="0.2">
      <c r="B390" s="314" t="s">
        <v>767</v>
      </c>
      <c r="C390" s="315" t="str">
        <f>VLOOKUP(D390,Fontes!$A$6:$H$11629,8,FALSE)</f>
        <v>Custo Mercado Reajustado</v>
      </c>
      <c r="D390" s="315" t="s">
        <v>1755</v>
      </c>
      <c r="E390" s="204" t="str">
        <f>VLOOKUP(D390,Fontes!$A$6:$H$11629,2,FALSE)</f>
        <v>Tampão Ferro Fundido para canaletas subestação para Classe C 250 (ruptura &gt;250 kN) nas dimensões 1,20 m x 0,8</v>
      </c>
      <c r="F390" s="203">
        <v>1</v>
      </c>
      <c r="G390" s="203" t="str">
        <f>VLOOKUP(D390,Fontes!$A$6:$L$11629,3,FALSE)</f>
        <v>un</v>
      </c>
      <c r="H390" s="203">
        <v>2615.4839999999999</v>
      </c>
      <c r="I390" s="203">
        <v>961.57500000000005</v>
      </c>
      <c r="J390" s="203">
        <v>0</v>
      </c>
      <c r="K390" s="316">
        <f t="shared" si="115"/>
        <v>3577.06</v>
      </c>
      <c r="L390" s="317">
        <f t="shared" si="116"/>
        <v>3577.06</v>
      </c>
      <c r="M390" s="318">
        <f t="shared" si="102"/>
        <v>1.2954152820782473E-4</v>
      </c>
    </row>
    <row r="391" spans="2:13" s="313" customFormat="1" ht="54" x14ac:dyDescent="0.2">
      <c r="B391" s="314" t="s">
        <v>768</v>
      </c>
      <c r="C391" s="315" t="str">
        <f>VLOOKUP(D391,Fontes!$A$6:$H$11629,8,FALSE)</f>
        <v>Custo Mercado Reajustado</v>
      </c>
      <c r="D391" s="315" t="s">
        <v>1756</v>
      </c>
      <c r="E391" s="204" t="str">
        <f>VLOOKUP(D391,Fontes!$A$6:$H$11629,2,FALSE)</f>
        <v>Par de Luvas isolante classe II, 25 kV</v>
      </c>
      <c r="F391" s="203">
        <v>1</v>
      </c>
      <c r="G391" s="203" t="str">
        <f>VLOOKUP(D391,Fontes!$A$6:$L$11629,3,FALSE)</f>
        <v>par</v>
      </c>
      <c r="H391" s="203">
        <v>2596.2525000000005</v>
      </c>
      <c r="I391" s="203">
        <v>384.63</v>
      </c>
      <c r="J391" s="203">
        <v>0</v>
      </c>
      <c r="K391" s="316">
        <f t="shared" si="115"/>
        <v>2980.88</v>
      </c>
      <c r="L391" s="317">
        <f t="shared" si="116"/>
        <v>2980.88</v>
      </c>
      <c r="M391" s="318">
        <f t="shared" si="102"/>
        <v>1.0795115279143782E-4</v>
      </c>
    </row>
    <row r="392" spans="2:13" s="313" customFormat="1" ht="54" x14ac:dyDescent="0.2">
      <c r="B392" s="314" t="s">
        <v>769</v>
      </c>
      <c r="C392" s="315" t="str">
        <f>VLOOKUP(D392,Fontes!$A$6:$H$11629,8,FALSE)</f>
        <v>Custo Mercado Reajustado</v>
      </c>
      <c r="D392" s="315" t="s">
        <v>1757</v>
      </c>
      <c r="E392" s="204" t="str">
        <f>VLOOKUP(D392,Fontes!$A$6:$H$11629,2,FALSE)</f>
        <v>Par de Luvas de raspa para Cobertura da luva isolante</v>
      </c>
      <c r="F392" s="203">
        <v>1</v>
      </c>
      <c r="G392" s="203" t="str">
        <f>VLOOKUP(D392,Fontes!$A$6:$L$11629,3,FALSE)</f>
        <v>par</v>
      </c>
      <c r="H392" s="203">
        <v>108.9785</v>
      </c>
      <c r="I392" s="203">
        <v>38.463000000000001</v>
      </c>
      <c r="J392" s="203">
        <v>0</v>
      </c>
      <c r="K392" s="316">
        <f t="shared" si="115"/>
        <v>147.44</v>
      </c>
      <c r="L392" s="317">
        <f t="shared" si="116"/>
        <v>147.44</v>
      </c>
      <c r="M392" s="318">
        <f t="shared" si="102"/>
        <v>5.3394695417358605E-6</v>
      </c>
    </row>
    <row r="393" spans="2:13" s="313" customFormat="1" ht="54" x14ac:dyDescent="0.2">
      <c r="B393" s="314" t="s">
        <v>770</v>
      </c>
      <c r="C393" s="315" t="str">
        <f>VLOOKUP(D393,Fontes!$A$6:$H$11629,8,FALSE)</f>
        <v>Custo Mercado Reajustado</v>
      </c>
      <c r="D393" s="315" t="s">
        <v>1758</v>
      </c>
      <c r="E393" s="204" t="str">
        <f>VLOOKUP(D393,Fontes!$A$6:$H$11629,2,FALSE)</f>
        <v>Caixa em madeira porta luvas</v>
      </c>
      <c r="F393" s="203">
        <v>1</v>
      </c>
      <c r="G393" s="203" t="str">
        <f>VLOOKUP(D393,Fontes!$A$6:$L$11629,3,FALSE)</f>
        <v>un</v>
      </c>
      <c r="H393" s="203">
        <v>536.55885000000001</v>
      </c>
      <c r="I393" s="203">
        <v>384.63</v>
      </c>
      <c r="J393" s="203">
        <v>0</v>
      </c>
      <c r="K393" s="316">
        <f t="shared" si="115"/>
        <v>921.19</v>
      </c>
      <c r="L393" s="317">
        <f t="shared" si="116"/>
        <v>921.19</v>
      </c>
      <c r="M393" s="318">
        <f t="shared" ref="M393:M404" si="119">+L393/$L$851</f>
        <v>3.3360458133150149E-5</v>
      </c>
    </row>
    <row r="394" spans="2:13" s="313" customFormat="1" ht="54" x14ac:dyDescent="0.2">
      <c r="B394" s="314" t="s">
        <v>771</v>
      </c>
      <c r="C394" s="315" t="str">
        <f>VLOOKUP(D394,Fontes!$A$6:$H$11629,8,FALSE)</f>
        <v>Custo Mercado Reajustado</v>
      </c>
      <c r="D394" s="315" t="s">
        <v>1759</v>
      </c>
      <c r="E394" s="204" t="str">
        <f>VLOOKUP(D394,Fontes!$A$6:$H$11629,2,FALSE)</f>
        <v>Capacete de proteção aba total com jugular</v>
      </c>
      <c r="F394" s="203">
        <v>1</v>
      </c>
      <c r="G394" s="203" t="str">
        <f>VLOOKUP(D394,Fontes!$A$6:$L$11629,3,FALSE)</f>
        <v>un</v>
      </c>
      <c r="H394" s="203">
        <v>152.56989999999999</v>
      </c>
      <c r="I394" s="203">
        <v>96.157499999999999</v>
      </c>
      <c r="J394" s="203">
        <v>0</v>
      </c>
      <c r="K394" s="316">
        <f t="shared" si="115"/>
        <v>248.73</v>
      </c>
      <c r="L394" s="317">
        <f t="shared" si="116"/>
        <v>248.73</v>
      </c>
      <c r="M394" s="318">
        <f t="shared" si="119"/>
        <v>9.0076387623166071E-6</v>
      </c>
    </row>
    <row r="395" spans="2:13" s="313" customFormat="1" ht="54" x14ac:dyDescent="0.2">
      <c r="B395" s="314" t="s">
        <v>772</v>
      </c>
      <c r="C395" s="315" t="str">
        <f>VLOOKUP(D395,Fontes!$A$6:$H$11629,8,FALSE)</f>
        <v>Custo Mercado Reajustado</v>
      </c>
      <c r="D395" s="315" t="s">
        <v>1760</v>
      </c>
      <c r="E395" s="204" t="str">
        <f>VLOOKUP(D395,Fontes!$A$6:$H$11629,2,FALSE)</f>
        <v>Óculos de Proteção com lente em acrílico incolor</v>
      </c>
      <c r="F395" s="203">
        <v>1</v>
      </c>
      <c r="G395" s="203" t="str">
        <f>VLOOKUP(D395,Fontes!$A$6:$L$11629,3,FALSE)</f>
        <v>un</v>
      </c>
      <c r="H395" s="203">
        <v>32.693550000000002</v>
      </c>
      <c r="I395" s="203">
        <v>19.2315</v>
      </c>
      <c r="J395" s="203">
        <v>0</v>
      </c>
      <c r="K395" s="316">
        <f t="shared" si="115"/>
        <v>51.93</v>
      </c>
      <c r="L395" s="317">
        <f t="shared" si="116"/>
        <v>51.93</v>
      </c>
      <c r="M395" s="318">
        <f t="shared" si="119"/>
        <v>1.8806202747039016E-6</v>
      </c>
    </row>
    <row r="396" spans="2:13" s="313" customFormat="1" ht="54" x14ac:dyDescent="0.2">
      <c r="B396" s="314" t="s">
        <v>773</v>
      </c>
      <c r="C396" s="315" t="str">
        <f>VLOOKUP(D396,Fontes!$A$6:$H$11629,8,FALSE)</f>
        <v>Custo Mercado Reajustado</v>
      </c>
      <c r="D396" s="315" t="s">
        <v>1774</v>
      </c>
      <c r="E396" s="204" t="str">
        <f>VLOOKUP(D396,Fontes!$A$6:$H$11629,2,FALSE)</f>
        <v>Placa Metálica de Advertência “ Perigo de Morte” - fornecimento e instalação</v>
      </c>
      <c r="F396" s="203">
        <v>3</v>
      </c>
      <c r="G396" s="203" t="str">
        <f>VLOOKUP(D396,Fontes!$A$6:$L$11629,3,FALSE)</f>
        <v>un</v>
      </c>
      <c r="H396" s="203">
        <v>43.270875000000004</v>
      </c>
      <c r="I396" s="203">
        <v>43.705219044314056</v>
      </c>
      <c r="J396" s="203">
        <v>0</v>
      </c>
      <c r="K396" s="316">
        <f t="shared" si="115"/>
        <v>86.98</v>
      </c>
      <c r="L396" s="317">
        <f t="shared" si="116"/>
        <v>260.94</v>
      </c>
      <c r="M396" s="318">
        <f t="shared" si="119"/>
        <v>9.4498181105572134E-6</v>
      </c>
    </row>
    <row r="397" spans="2:13" s="109" customFormat="1" ht="18" x14ac:dyDescent="0.2">
      <c r="B397" s="114"/>
      <c r="C397" s="115"/>
      <c r="D397" s="115"/>
      <c r="E397" s="116"/>
      <c r="F397" s="117"/>
      <c r="G397" s="117"/>
      <c r="H397" s="117"/>
      <c r="I397" s="117"/>
      <c r="J397" s="117"/>
      <c r="K397" s="118"/>
      <c r="L397" s="119"/>
      <c r="M397" s="120">
        <f t="shared" si="119"/>
        <v>0</v>
      </c>
    </row>
    <row r="398" spans="2:13" s="109" customFormat="1" ht="25.5" customHeight="1" x14ac:dyDescent="0.2">
      <c r="B398" s="217" t="s">
        <v>774</v>
      </c>
      <c r="C398" s="218"/>
      <c r="D398" s="218"/>
      <c r="E398" s="311" t="s">
        <v>425</v>
      </c>
      <c r="F398" s="219"/>
      <c r="G398" s="220"/>
      <c r="H398" s="221"/>
      <c r="I398" s="221"/>
      <c r="J398" s="219"/>
      <c r="K398" s="219"/>
      <c r="L398" s="222">
        <f>SUBTOTAL(9,L399)</f>
        <v>32549.88</v>
      </c>
      <c r="M398" s="223">
        <f t="shared" si="119"/>
        <v>1.1787784376502798E-3</v>
      </c>
    </row>
    <row r="399" spans="2:13" s="313" customFormat="1" ht="54" x14ac:dyDescent="0.2">
      <c r="B399" s="314" t="s">
        <v>2034</v>
      </c>
      <c r="C399" s="315" t="str">
        <f>VLOOKUP(D399,Fontes!$A$6:$H$11629,8,FALSE)</f>
        <v>Custo Mercado Reajustado</v>
      </c>
      <c r="D399" s="315" t="s">
        <v>1775</v>
      </c>
      <c r="E399" s="204" t="str">
        <f>VLOOKUP(D399,Fontes!$A$6:$H$11629,2,FALSE)</f>
        <v>Acessórios e miudezas</v>
      </c>
      <c r="F399" s="203">
        <v>1</v>
      </c>
      <c r="G399" s="203" t="str">
        <f>VLOOKUP(D399,Fontes!$A$6:$L$11629,3,FALSE)</f>
        <v>sv</v>
      </c>
      <c r="H399" s="203">
        <v>32549.877442968111</v>
      </c>
      <c r="I399" s="203">
        <v>0</v>
      </c>
      <c r="J399" s="203">
        <v>0</v>
      </c>
      <c r="K399" s="316">
        <f t="shared" ref="K399" si="120">ROUND(+H399+I399+J399,2)</f>
        <v>32549.88</v>
      </c>
      <c r="L399" s="317">
        <f t="shared" ref="L399" si="121">ROUND(F399*K399,2)</f>
        <v>32549.88</v>
      </c>
      <c r="M399" s="318">
        <f t="shared" si="119"/>
        <v>1.1787784376502798E-3</v>
      </c>
    </row>
    <row r="400" spans="2:13" s="109" customFormat="1" ht="18" x14ac:dyDescent="0.2">
      <c r="B400" s="114"/>
      <c r="C400" s="115"/>
      <c r="D400" s="115"/>
      <c r="E400" s="116"/>
      <c r="F400" s="117"/>
      <c r="G400" s="117"/>
      <c r="H400" s="117"/>
      <c r="I400" s="117"/>
      <c r="J400" s="117"/>
      <c r="K400" s="118"/>
      <c r="L400" s="119"/>
      <c r="M400" s="120">
        <f t="shared" si="119"/>
        <v>0</v>
      </c>
    </row>
    <row r="401" spans="2:13" s="109" customFormat="1" ht="18" x14ac:dyDescent="0.2">
      <c r="B401" s="114"/>
      <c r="C401" s="115"/>
      <c r="D401" s="115"/>
      <c r="E401" s="116"/>
      <c r="F401" s="117"/>
      <c r="G401" s="117"/>
      <c r="H401" s="117"/>
      <c r="I401" s="117"/>
      <c r="J401" s="117"/>
      <c r="K401" s="118"/>
      <c r="L401" s="119"/>
      <c r="M401" s="120">
        <f t="shared" si="119"/>
        <v>0</v>
      </c>
    </row>
    <row r="402" spans="2:13" s="109" customFormat="1" ht="25.5" customHeight="1" x14ac:dyDescent="0.2">
      <c r="B402" s="206">
        <v>10</v>
      </c>
      <c r="C402" s="207"/>
      <c r="D402" s="207"/>
      <c r="E402" s="309" t="s">
        <v>426</v>
      </c>
      <c r="F402" s="209"/>
      <c r="G402" s="205"/>
      <c r="H402" s="210"/>
      <c r="I402" s="210"/>
      <c r="J402" s="209"/>
      <c r="K402" s="209"/>
      <c r="L402" s="211">
        <f>SUBTOTAL(9,L403:L421)</f>
        <v>204047.49</v>
      </c>
      <c r="M402" s="212">
        <f t="shared" si="119"/>
        <v>7.3894828942122391E-3</v>
      </c>
    </row>
    <row r="403" spans="2:13" s="109" customFormat="1" ht="25.5" customHeight="1" x14ac:dyDescent="0.2">
      <c r="B403" s="217" t="s">
        <v>775</v>
      </c>
      <c r="C403" s="218"/>
      <c r="D403" s="218"/>
      <c r="E403" s="311" t="s">
        <v>2246</v>
      </c>
      <c r="F403" s="219"/>
      <c r="G403" s="220"/>
      <c r="H403" s="221"/>
      <c r="I403" s="221"/>
      <c r="J403" s="219"/>
      <c r="K403" s="219"/>
      <c r="L403" s="222">
        <f>SUBTOTAL(9,L404:L404)</f>
        <v>193280.49</v>
      </c>
      <c r="M403" s="223">
        <f t="shared" si="119"/>
        <v>6.9995611053091603E-3</v>
      </c>
    </row>
    <row r="404" spans="2:13" s="109" customFormat="1" ht="54" x14ac:dyDescent="0.2">
      <c r="B404" s="114" t="s">
        <v>776</v>
      </c>
      <c r="C404" s="315" t="str">
        <f>VLOOKUP(D404,Fontes!$A$6:$H$11629,8,FALSE)</f>
        <v>Custo Mercado Reajustado</v>
      </c>
      <c r="D404" s="115" t="s">
        <v>1379</v>
      </c>
      <c r="E404" s="204" t="str">
        <f>VLOOKUP(D404,Fontes!$A$6:$H$11629,2,FALSE)</f>
        <v>Fornecimento e instalação de sistema fotovoltaico 38,70 kWp composto dos equipamentos e materiais abaixo relacionados</v>
      </c>
      <c r="F404" s="117">
        <v>1</v>
      </c>
      <c r="G404" s="203" t="str">
        <f>VLOOKUP(D404,Fontes!$A$6:$L$11629,3,FALSE)</f>
        <v>cj</v>
      </c>
      <c r="H404" s="203">
        <v>193280.48540499998</v>
      </c>
      <c r="I404" s="203">
        <v>0</v>
      </c>
      <c r="J404" s="203">
        <v>0</v>
      </c>
      <c r="K404" s="316">
        <f t="shared" ref="K404" si="122">ROUND(+H404+I404+J404,2)</f>
        <v>193280.49</v>
      </c>
      <c r="L404" s="317">
        <f t="shared" ref="L404" si="123">ROUND(F404*K404,2)</f>
        <v>193280.49</v>
      </c>
      <c r="M404" s="318">
        <f t="shared" si="119"/>
        <v>6.9995611053091603E-3</v>
      </c>
    </row>
    <row r="405" spans="2:13" s="109" customFormat="1" ht="18" x14ac:dyDescent="0.2">
      <c r="B405" s="114" t="s">
        <v>2247</v>
      </c>
      <c r="C405" s="115"/>
      <c r="D405" s="115"/>
      <c r="E405" s="204" t="s">
        <v>427</v>
      </c>
      <c r="F405" s="117">
        <v>120</v>
      </c>
      <c r="G405" s="117"/>
      <c r="H405" s="117"/>
      <c r="I405" s="117"/>
      <c r="J405" s="117"/>
      <c r="K405" s="118"/>
      <c r="L405" s="119" t="s">
        <v>257</v>
      </c>
      <c r="M405" s="120"/>
    </row>
    <row r="406" spans="2:13" s="109" customFormat="1" ht="36" x14ac:dyDescent="0.2">
      <c r="B406" s="114" t="s">
        <v>2248</v>
      </c>
      <c r="C406" s="115"/>
      <c r="D406" s="115"/>
      <c r="E406" s="204" t="s">
        <v>428</v>
      </c>
      <c r="F406" s="117">
        <v>2</v>
      </c>
      <c r="G406" s="117"/>
      <c r="H406" s="117"/>
      <c r="I406" s="117"/>
      <c r="J406" s="117"/>
      <c r="K406" s="118"/>
      <c r="L406" s="119" t="s">
        <v>257</v>
      </c>
      <c r="M406" s="120"/>
    </row>
    <row r="407" spans="2:13" s="109" customFormat="1" ht="36" x14ac:dyDescent="0.2">
      <c r="B407" s="114" t="s">
        <v>2249</v>
      </c>
      <c r="C407" s="115"/>
      <c r="D407" s="115"/>
      <c r="E407" s="204" t="s">
        <v>429</v>
      </c>
      <c r="F407" s="117">
        <v>1080</v>
      </c>
      <c r="G407" s="117"/>
      <c r="H407" s="117"/>
      <c r="I407" s="117"/>
      <c r="J407" s="117"/>
      <c r="K407" s="118"/>
      <c r="L407" s="119" t="s">
        <v>257</v>
      </c>
      <c r="M407" s="120"/>
    </row>
    <row r="408" spans="2:13" s="109" customFormat="1" ht="216" x14ac:dyDescent="0.2">
      <c r="B408" s="114" t="s">
        <v>2250</v>
      </c>
      <c r="C408" s="115"/>
      <c r="D408" s="115"/>
      <c r="E408" s="204" t="s">
        <v>430</v>
      </c>
      <c r="F408" s="117">
        <v>60</v>
      </c>
      <c r="G408" s="117"/>
      <c r="H408" s="117"/>
      <c r="I408" s="117"/>
      <c r="J408" s="117"/>
      <c r="K408" s="118"/>
      <c r="L408" s="119" t="s">
        <v>257</v>
      </c>
      <c r="M408" s="120"/>
    </row>
    <row r="409" spans="2:13" s="109" customFormat="1" ht="18" x14ac:dyDescent="0.2">
      <c r="B409" s="114" t="s">
        <v>2251</v>
      </c>
      <c r="C409" s="115"/>
      <c r="D409" s="115"/>
      <c r="E409" s="204" t="s">
        <v>432</v>
      </c>
      <c r="F409" s="117">
        <v>2</v>
      </c>
      <c r="G409" s="117"/>
      <c r="H409" s="117"/>
      <c r="I409" s="117"/>
      <c r="J409" s="117"/>
      <c r="K409" s="118"/>
      <c r="L409" s="119" t="s">
        <v>257</v>
      </c>
      <c r="M409" s="120"/>
    </row>
    <row r="410" spans="2:13" s="109" customFormat="1" ht="18" x14ac:dyDescent="0.2">
      <c r="B410" s="114" t="s">
        <v>2252</v>
      </c>
      <c r="C410" s="115"/>
      <c r="D410" s="115"/>
      <c r="E410" s="204" t="s">
        <v>433</v>
      </c>
      <c r="F410" s="117">
        <v>1</v>
      </c>
      <c r="G410" s="117"/>
      <c r="H410" s="117"/>
      <c r="I410" s="117"/>
      <c r="J410" s="117"/>
      <c r="K410" s="118"/>
      <c r="L410" s="119" t="s">
        <v>257</v>
      </c>
      <c r="M410" s="120"/>
    </row>
    <row r="411" spans="2:13" s="109" customFormat="1" ht="18" x14ac:dyDescent="0.2">
      <c r="B411" s="114" t="s">
        <v>2253</v>
      </c>
      <c r="C411" s="115"/>
      <c r="D411" s="115"/>
      <c r="E411" s="204" t="s">
        <v>434</v>
      </c>
      <c r="F411" s="117">
        <v>395</v>
      </c>
      <c r="G411" s="117"/>
      <c r="H411" s="117"/>
      <c r="I411" s="117"/>
      <c r="J411" s="117"/>
      <c r="K411" s="118"/>
      <c r="L411" s="119" t="s">
        <v>257</v>
      </c>
      <c r="M411" s="120"/>
    </row>
    <row r="412" spans="2:13" s="109" customFormat="1" ht="18" x14ac:dyDescent="0.2">
      <c r="B412" s="114" t="s">
        <v>2254</v>
      </c>
      <c r="C412" s="115"/>
      <c r="D412" s="115"/>
      <c r="E412" s="204" t="s">
        <v>435</v>
      </c>
      <c r="F412" s="117">
        <v>273</v>
      </c>
      <c r="G412" s="117"/>
      <c r="H412" s="117"/>
      <c r="I412" s="117"/>
      <c r="J412" s="117"/>
      <c r="K412" s="118"/>
      <c r="L412" s="119" t="s">
        <v>257</v>
      </c>
      <c r="M412" s="120"/>
    </row>
    <row r="413" spans="2:13" s="109" customFormat="1" ht="18" x14ac:dyDescent="0.2">
      <c r="B413" s="114" t="s">
        <v>2255</v>
      </c>
      <c r="C413" s="115"/>
      <c r="D413" s="115"/>
      <c r="E413" s="204" t="s">
        <v>436</v>
      </c>
      <c r="F413" s="117">
        <v>132</v>
      </c>
      <c r="G413" s="117"/>
      <c r="H413" s="117"/>
      <c r="I413" s="117"/>
      <c r="J413" s="117"/>
      <c r="K413" s="118"/>
      <c r="L413" s="119" t="s">
        <v>257</v>
      </c>
      <c r="M413" s="120"/>
    </row>
    <row r="414" spans="2:13" s="109" customFormat="1" ht="18" x14ac:dyDescent="0.2">
      <c r="B414" s="114" t="s">
        <v>2256</v>
      </c>
      <c r="C414" s="115"/>
      <c r="D414" s="115"/>
      <c r="E414" s="204" t="s">
        <v>437</v>
      </c>
      <c r="F414" s="117">
        <v>24</v>
      </c>
      <c r="G414" s="117"/>
      <c r="H414" s="117"/>
      <c r="I414" s="117"/>
      <c r="J414" s="117"/>
      <c r="K414" s="118"/>
      <c r="L414" s="119" t="s">
        <v>257</v>
      </c>
      <c r="M414" s="120"/>
    </row>
    <row r="415" spans="2:13" s="109" customFormat="1" ht="18" x14ac:dyDescent="0.2">
      <c r="B415" s="114"/>
      <c r="C415" s="115"/>
      <c r="D415" s="115"/>
      <c r="E415" s="116"/>
      <c r="F415" s="117"/>
      <c r="G415" s="117"/>
      <c r="H415" s="117"/>
      <c r="I415" s="117"/>
      <c r="J415" s="117"/>
      <c r="K415" s="118"/>
      <c r="L415" s="119"/>
      <c r="M415" s="120">
        <f t="shared" ref="M415:M446" si="124">+L415/$L$851</f>
        <v>0</v>
      </c>
    </row>
    <row r="416" spans="2:13" s="109" customFormat="1" ht="25.5" customHeight="1" x14ac:dyDescent="0.2">
      <c r="B416" s="217" t="s">
        <v>777</v>
      </c>
      <c r="C416" s="218"/>
      <c r="D416" s="218"/>
      <c r="E416" s="311" t="s">
        <v>431</v>
      </c>
      <c r="F416" s="219"/>
      <c r="G416" s="220"/>
      <c r="H416" s="221"/>
      <c r="I416" s="221"/>
      <c r="J416" s="219"/>
      <c r="K416" s="219"/>
      <c r="L416" s="222">
        <f>SUBTOTAL(9,L417:L420)</f>
        <v>10767</v>
      </c>
      <c r="M416" s="223">
        <f t="shared" si="124"/>
        <v>3.8992178890307931E-4</v>
      </c>
    </row>
    <row r="417" spans="2:16" s="109" customFormat="1" ht="54" x14ac:dyDescent="0.2">
      <c r="B417" s="114" t="s">
        <v>778</v>
      </c>
      <c r="C417" s="315" t="str">
        <f>VLOOKUP(D417,Fontes!$A$6:$H$11629,8,FALSE)</f>
        <v>Custo Mercado Reajustado</v>
      </c>
      <c r="D417" s="115" t="str">
        <f>D278</f>
        <v>COT 203</v>
      </c>
      <c r="E417" s="204" t="str">
        <f>VLOOKUP(D417,Fontes!$A$6:$H$11629,2,FALSE)</f>
        <v>Eletroduto em aço galvanizado eletrolítico  Ø 1", inclusive conexões</v>
      </c>
      <c r="F417" s="117">
        <v>60</v>
      </c>
      <c r="G417" s="203" t="str">
        <f>VLOOKUP(D417,Fontes!$A$6:$L$11629,3,FALSE)</f>
        <v>m</v>
      </c>
      <c r="H417" s="203">
        <v>19.085767966666666</v>
      </c>
      <c r="I417" s="203">
        <v>52.516191203647779</v>
      </c>
      <c r="J417" s="203">
        <v>0</v>
      </c>
      <c r="K417" s="316">
        <f t="shared" ref="K417:K418" si="125">ROUND(+H417+I417+J417,2)</f>
        <v>71.599999999999994</v>
      </c>
      <c r="L417" s="317">
        <f t="shared" ref="L417:L418" si="126">ROUND(F417*K417,2)</f>
        <v>4296</v>
      </c>
      <c r="M417" s="318">
        <f t="shared" si="124"/>
        <v>1.5557759869300907E-4</v>
      </c>
    </row>
    <row r="418" spans="2:16" s="109" customFormat="1" ht="54" x14ac:dyDescent="0.2">
      <c r="B418" s="114" t="s">
        <v>2257</v>
      </c>
      <c r="C418" s="315" t="str">
        <f>VLOOKUP(D418,Fontes!$A$6:$H$11629,8,FALSE)</f>
        <v>Custo Mercado Reajustado</v>
      </c>
      <c r="D418" s="115" t="str">
        <f>D279</f>
        <v>COT 204</v>
      </c>
      <c r="E418" s="204" t="str">
        <f>VLOOKUP(D418,Fontes!$A$6:$H$11629,2,FALSE)</f>
        <v>Eletroduto em aço galvanizado eletrolítico  Ø 1 1/2", inclusive conexões</v>
      </c>
      <c r="F418" s="117">
        <v>50</v>
      </c>
      <c r="G418" s="203" t="str">
        <f>VLOOKUP(D418,Fontes!$A$6:$L$11629,3,FALSE)</f>
        <v>m</v>
      </c>
      <c r="H418" s="203">
        <v>40.220331733333332</v>
      </c>
      <c r="I418" s="203">
        <v>57.694499999999998</v>
      </c>
      <c r="J418" s="203">
        <v>0</v>
      </c>
      <c r="K418" s="316">
        <f t="shared" si="125"/>
        <v>97.91</v>
      </c>
      <c r="L418" s="317">
        <f t="shared" si="126"/>
        <v>4895.5</v>
      </c>
      <c r="M418" s="318">
        <f t="shared" si="124"/>
        <v>1.7728820633184961E-4</v>
      </c>
    </row>
    <row r="419" spans="2:16" s="109" customFormat="1" ht="18" x14ac:dyDescent="0.2">
      <c r="B419" s="114" t="s">
        <v>779</v>
      </c>
      <c r="C419" s="315" t="str">
        <f>VLOOKUP(D419,Fontes!$A$6:$H$11629,8,FALSE)</f>
        <v>SBC / RJ</v>
      </c>
      <c r="D419" s="115">
        <v>61860</v>
      </c>
      <c r="E419" s="204" t="str">
        <f>VLOOKUP(D419,Fontes!$A$6:$H$11629,2,FALSE)</f>
        <v>Condulete de alumínio tipo "LB" 1" com tampa</v>
      </c>
      <c r="F419" s="117">
        <v>9</v>
      </c>
      <c r="G419" s="203" t="str">
        <f>VLOOKUP(D419,Fontes!$A$6:$L$11629,3,FALSE)</f>
        <v>un</v>
      </c>
      <c r="H419" s="203">
        <v>37.770000000000003</v>
      </c>
      <c r="I419" s="203">
        <v>25.479999999999997</v>
      </c>
      <c r="J419" s="203">
        <v>0</v>
      </c>
      <c r="K419" s="316">
        <f t="shared" ref="K419:K420" si="127">ROUND(+H419+I419+J419,2)</f>
        <v>63.25</v>
      </c>
      <c r="L419" s="317">
        <f t="shared" ref="L419:L420" si="128">ROUND(F419*K419,2)</f>
        <v>569.25</v>
      </c>
      <c r="M419" s="318">
        <f t="shared" si="124"/>
        <v>2.0615118262568766E-5</v>
      </c>
    </row>
    <row r="420" spans="2:16" s="109" customFormat="1" ht="18" x14ac:dyDescent="0.2">
      <c r="B420" s="114" t="s">
        <v>780</v>
      </c>
      <c r="C420" s="315" t="str">
        <f>VLOOKUP(D420,Fontes!$A$6:$H$11629,8,FALSE)</f>
        <v>SBC / RJ</v>
      </c>
      <c r="D420" s="115">
        <v>61875</v>
      </c>
      <c r="E420" s="204" t="str">
        <f>VLOOKUP(D420,Fontes!$A$6:$H$11629,2,FALSE)</f>
        <v>Condulete de alumínio tipo "X" 1.1/2" com tampa</v>
      </c>
      <c r="F420" s="117">
        <v>7</v>
      </c>
      <c r="G420" s="203" t="str">
        <f>VLOOKUP(D420,Fontes!$A$6:$L$11629,3,FALSE)</f>
        <v>un</v>
      </c>
      <c r="H420" s="203">
        <v>97.789999999999992</v>
      </c>
      <c r="I420" s="203">
        <v>45.96</v>
      </c>
      <c r="J420" s="203">
        <v>0</v>
      </c>
      <c r="K420" s="316">
        <f t="shared" si="127"/>
        <v>143.75</v>
      </c>
      <c r="L420" s="317">
        <f t="shared" si="128"/>
        <v>1006.25</v>
      </c>
      <c r="M420" s="318">
        <f t="shared" si="124"/>
        <v>3.644086561565186E-5</v>
      </c>
    </row>
    <row r="421" spans="2:16" s="109" customFormat="1" ht="18" x14ac:dyDescent="0.2">
      <c r="B421" s="114"/>
      <c r="C421" s="115"/>
      <c r="D421" s="115"/>
      <c r="E421" s="116"/>
      <c r="F421" s="117"/>
      <c r="G421" s="117"/>
      <c r="H421" s="117"/>
      <c r="I421" s="117"/>
      <c r="J421" s="117"/>
      <c r="K421" s="118"/>
      <c r="L421" s="119"/>
      <c r="M421" s="120">
        <f t="shared" si="124"/>
        <v>0</v>
      </c>
    </row>
    <row r="422" spans="2:16" s="109" customFormat="1" ht="18" x14ac:dyDescent="0.2">
      <c r="B422" s="114"/>
      <c r="C422" s="115"/>
      <c r="D422" s="115"/>
      <c r="E422" s="116"/>
      <c r="F422" s="117"/>
      <c r="G422" s="117"/>
      <c r="H422" s="117"/>
      <c r="I422" s="117"/>
      <c r="J422" s="117"/>
      <c r="K422" s="118"/>
      <c r="L422" s="119"/>
      <c r="M422" s="120">
        <f t="shared" si="124"/>
        <v>0</v>
      </c>
    </row>
    <row r="423" spans="2:16" s="109" customFormat="1" ht="25.5" customHeight="1" x14ac:dyDescent="0.2">
      <c r="B423" s="206">
        <v>11</v>
      </c>
      <c r="C423" s="207"/>
      <c r="D423" s="207"/>
      <c r="E423" s="309" t="s">
        <v>439</v>
      </c>
      <c r="F423" s="209"/>
      <c r="G423" s="205"/>
      <c r="H423" s="210"/>
      <c r="I423" s="210"/>
      <c r="J423" s="209"/>
      <c r="K423" s="209"/>
      <c r="L423" s="211">
        <f>SUBTOTAL(9,L424:L474)</f>
        <v>509134.79999999993</v>
      </c>
      <c r="M423" s="212">
        <f t="shared" si="124"/>
        <v>1.8438074859181895E-2</v>
      </c>
    </row>
    <row r="424" spans="2:16" s="109" customFormat="1" ht="25.5" customHeight="1" x14ac:dyDescent="0.2">
      <c r="B424" s="217" t="s">
        <v>781</v>
      </c>
      <c r="C424" s="218"/>
      <c r="D424" s="218"/>
      <c r="E424" s="311" t="s">
        <v>338</v>
      </c>
      <c r="F424" s="219"/>
      <c r="G424" s="220"/>
      <c r="H424" s="221"/>
      <c r="I424" s="221"/>
      <c r="J424" s="219"/>
      <c r="K424" s="219"/>
      <c r="L424" s="222">
        <f>SUBTOTAL(9,L425:L429)</f>
        <v>34285.949999999997</v>
      </c>
      <c r="M424" s="223">
        <f t="shared" si="124"/>
        <v>1.2416493877813253E-3</v>
      </c>
    </row>
    <row r="425" spans="2:16" s="109" customFormat="1" ht="54" x14ac:dyDescent="0.2">
      <c r="B425" s="114" t="s">
        <v>782</v>
      </c>
      <c r="C425" s="315" t="str">
        <f>VLOOKUP(D425,Fontes!$A$6:$H$11629,8,FALSE)</f>
        <v>Custo Mercado Reajustado</v>
      </c>
      <c r="D425" s="115" t="str">
        <f>D283</f>
        <v>COT 208</v>
      </c>
      <c r="E425" s="204" t="str">
        <f>VLOOKUP(D425,Fontes!$A$6:$H$11629,2,FALSE)</f>
        <v>Eletroduto rígido roscável em PVC Ø1", inclusive conexões</v>
      </c>
      <c r="F425" s="117">
        <v>15</v>
      </c>
      <c r="G425" s="117" t="str">
        <f>VLOOKUP(D425,Fontes!$A$6:$L$11629,3,FALSE)</f>
        <v>m</v>
      </c>
      <c r="H425" s="117">
        <v>13.963778466666666</v>
      </c>
      <c r="I425" s="117">
        <v>33.967696241240887</v>
      </c>
      <c r="J425" s="117">
        <v>0</v>
      </c>
      <c r="K425" s="118">
        <f t="shared" ref="K425:K428" si="129">ROUND(+H425+I425+J425,2)</f>
        <v>47.93</v>
      </c>
      <c r="L425" s="317">
        <f t="shared" ref="L425:L428" si="130">ROUND(F425*K425,2)</f>
        <v>718.95</v>
      </c>
      <c r="M425" s="318">
        <f t="shared" si="124"/>
        <v>2.6036432630432702E-5</v>
      </c>
    </row>
    <row r="426" spans="2:16" s="109" customFormat="1" ht="54" x14ac:dyDescent="0.2">
      <c r="B426" s="114" t="s">
        <v>783</v>
      </c>
      <c r="C426" s="315" t="str">
        <f>VLOOKUP(D426,Fontes!$A$6:$H$11629,8,FALSE)</f>
        <v>Custo Mercado Reajustado</v>
      </c>
      <c r="D426" s="115" t="str">
        <f>D277</f>
        <v>COT 202</v>
      </c>
      <c r="E426" s="204" t="str">
        <f>VLOOKUP(D426,Fontes!$A$6:$H$11629,2,FALSE)</f>
        <v>Eletroduto em aço galvanizado eletrolítico  Ø 3/4", inclusive conexões</v>
      </c>
      <c r="F426" s="117">
        <v>210</v>
      </c>
      <c r="G426" s="117" t="str">
        <f>VLOOKUP(D426,Fontes!$A$6:$L$11629,3,FALSE)</f>
        <v>m</v>
      </c>
      <c r="H426" s="117">
        <v>15.126215800000001</v>
      </c>
      <c r="I426" s="117">
        <v>42.166795333954198</v>
      </c>
      <c r="J426" s="117">
        <v>0</v>
      </c>
      <c r="K426" s="118">
        <f t="shared" si="129"/>
        <v>57.29</v>
      </c>
      <c r="L426" s="317">
        <f t="shared" si="130"/>
        <v>12030.9</v>
      </c>
      <c r="M426" s="318">
        <f t="shared" si="124"/>
        <v>4.3569332684257982E-4</v>
      </c>
    </row>
    <row r="427" spans="2:16" s="109" customFormat="1" ht="54" x14ac:dyDescent="0.2">
      <c r="B427" s="114" t="s">
        <v>784</v>
      </c>
      <c r="C427" s="315" t="str">
        <f>VLOOKUP(D427,Fontes!$A$6:$H$11629,8,FALSE)</f>
        <v>Custo Mercado Reajustado</v>
      </c>
      <c r="D427" s="115" t="str">
        <f>D278</f>
        <v>COT 203</v>
      </c>
      <c r="E427" s="204" t="str">
        <f>VLOOKUP(D427,Fontes!$A$6:$H$11629,2,FALSE)</f>
        <v>Eletroduto em aço galvanizado eletrolítico  Ø 1", inclusive conexões</v>
      </c>
      <c r="F427" s="117">
        <v>225</v>
      </c>
      <c r="G427" s="117" t="str">
        <f>VLOOKUP(D427,Fontes!$A$6:$L$11629,3,FALSE)</f>
        <v>m</v>
      </c>
      <c r="H427" s="117">
        <v>19.085767966666666</v>
      </c>
      <c r="I427" s="117">
        <v>52.516191203647779</v>
      </c>
      <c r="J427" s="117">
        <v>0</v>
      </c>
      <c r="K427" s="118">
        <f t="shared" si="129"/>
        <v>71.599999999999994</v>
      </c>
      <c r="L427" s="317">
        <f t="shared" si="130"/>
        <v>16110</v>
      </c>
      <c r="M427" s="318">
        <f t="shared" si="124"/>
        <v>5.8341599509878408E-4</v>
      </c>
    </row>
    <row r="428" spans="2:16" s="109" customFormat="1" ht="54" x14ac:dyDescent="0.2">
      <c r="B428" s="114" t="s">
        <v>785</v>
      </c>
      <c r="C428" s="315" t="str">
        <f>VLOOKUP(D428,Fontes!$A$6:$H$11629,8,FALSE)</f>
        <v>Custo Mercado Reajustado</v>
      </c>
      <c r="D428" s="315" t="str">
        <f>D280</f>
        <v>COT 205</v>
      </c>
      <c r="E428" s="204" t="str">
        <f>VLOOKUP(D428,Fontes!$A$6:$H$11629,2,FALSE)</f>
        <v>Eletroduto em aço galvanizado eletrolítico  Ø 2", inclusive conexões</v>
      </c>
      <c r="F428" s="117">
        <v>30</v>
      </c>
      <c r="G428" s="117" t="str">
        <f>VLOOKUP(D428,Fontes!$A$6:$L$11629,3,FALSE)</f>
        <v>m</v>
      </c>
      <c r="H428" s="117">
        <v>54.0751317</v>
      </c>
      <c r="I428" s="117">
        <v>57.694499999999998</v>
      </c>
      <c r="J428" s="117">
        <v>0</v>
      </c>
      <c r="K428" s="118">
        <f t="shared" si="129"/>
        <v>111.77</v>
      </c>
      <c r="L428" s="317">
        <f t="shared" si="130"/>
        <v>3353.1</v>
      </c>
      <c r="M428" s="318">
        <f t="shared" si="124"/>
        <v>1.2143092322568173E-4</v>
      </c>
    </row>
    <row r="429" spans="2:16" s="109" customFormat="1" ht="18" x14ac:dyDescent="0.2">
      <c r="B429" s="114" t="s">
        <v>786</v>
      </c>
      <c r="C429" s="315" t="str">
        <f>VLOOKUP(D429,Fontes!$A$6:$H$11629,8,FALSE)</f>
        <v>SINAPI / RJ</v>
      </c>
      <c r="D429" s="315">
        <v>91859</v>
      </c>
      <c r="E429" s="204" t="s">
        <v>440</v>
      </c>
      <c r="F429" s="117">
        <v>150</v>
      </c>
      <c r="G429" s="117" t="str">
        <f>VLOOKUP(D429,Fontes!$A$6:$L$11629,3,FALSE)</f>
        <v>m</v>
      </c>
      <c r="H429" s="117">
        <v>6.6223183673469395</v>
      </c>
      <c r="I429" s="117">
        <v>7.1976816326530617</v>
      </c>
      <c r="J429" s="117">
        <v>0</v>
      </c>
      <c r="K429" s="118">
        <f t="shared" ref="K429" si="131">ROUND(+H429+I429+J429,2)</f>
        <v>13.82</v>
      </c>
      <c r="L429" s="317">
        <f t="shared" ref="L429" si="132">ROUND(F429*K429,2)</f>
        <v>2073</v>
      </c>
      <c r="M429" s="318">
        <f t="shared" si="124"/>
        <v>7.5072709983847256E-5</v>
      </c>
      <c r="O429" s="313"/>
      <c r="P429" s="313"/>
    </row>
    <row r="430" spans="2:16" s="109" customFormat="1" ht="18" x14ac:dyDescent="0.2">
      <c r="B430" s="114"/>
      <c r="C430" s="115"/>
      <c r="D430" s="115"/>
      <c r="E430" s="116"/>
      <c r="F430" s="117"/>
      <c r="G430" s="117"/>
      <c r="H430" s="117"/>
      <c r="I430" s="117"/>
      <c r="J430" s="117"/>
      <c r="K430" s="118"/>
      <c r="L430" s="119"/>
      <c r="M430" s="120">
        <f t="shared" si="124"/>
        <v>0</v>
      </c>
    </row>
    <row r="431" spans="2:16" s="109" customFormat="1" ht="25.5" customHeight="1" x14ac:dyDescent="0.2">
      <c r="B431" s="217" t="s">
        <v>787</v>
      </c>
      <c r="C431" s="218"/>
      <c r="D431" s="218"/>
      <c r="E431" s="311" t="s">
        <v>441</v>
      </c>
      <c r="F431" s="219"/>
      <c r="G431" s="220"/>
      <c r="H431" s="221"/>
      <c r="I431" s="221"/>
      <c r="J431" s="219"/>
      <c r="K431" s="219"/>
      <c r="L431" s="222">
        <f>SUBTOTAL(9,L432:L432)</f>
        <v>921.3</v>
      </c>
      <c r="M431" s="223">
        <f t="shared" si="124"/>
        <v>3.3364441730882044E-5</v>
      </c>
    </row>
    <row r="432" spans="2:16" s="109" customFormat="1" ht="54" x14ac:dyDescent="0.2">
      <c r="B432" s="114" t="s">
        <v>788</v>
      </c>
      <c r="C432" s="315" t="str">
        <f>VLOOKUP(D432,Fontes!$A$6:$H$11629,8,FALSE)</f>
        <v>Custo Mercado Reajustado</v>
      </c>
      <c r="D432" s="115" t="str">
        <f>D290</f>
        <v>COT 213</v>
      </c>
      <c r="E432" s="204" t="str">
        <f>VLOOKUP(D432,Fontes!$A$6:$H$11629,2,FALSE)</f>
        <v>Caixa de passagem em chapa de aço/alumínio com tampa aparafusada - dimensões 10x10x8cm</v>
      </c>
      <c r="F432" s="117">
        <v>10</v>
      </c>
      <c r="G432" s="117" t="str">
        <f>VLOOKUP(D432,Fontes!$A$6:$L$11629,3,FALSE)</f>
        <v>un</v>
      </c>
      <c r="H432" s="117">
        <v>32.039679</v>
      </c>
      <c r="I432" s="117">
        <v>60.085935142122963</v>
      </c>
      <c r="J432" s="117">
        <v>0</v>
      </c>
      <c r="K432" s="118">
        <f t="shared" ref="K432" si="133">ROUND(+H432+I432+J432,2)</f>
        <v>92.13</v>
      </c>
      <c r="L432" s="317">
        <f t="shared" ref="L432" si="134">ROUND(F432*K432,2)</f>
        <v>921.3</v>
      </c>
      <c r="M432" s="318">
        <f t="shared" si="124"/>
        <v>3.3364441730882044E-5</v>
      </c>
    </row>
    <row r="433" spans="2:16" s="109" customFormat="1" ht="18" x14ac:dyDescent="0.2">
      <c r="B433" s="114"/>
      <c r="C433" s="115"/>
      <c r="D433" s="115"/>
      <c r="E433" s="116"/>
      <c r="F433" s="117"/>
      <c r="G433" s="117"/>
      <c r="H433" s="117"/>
      <c r="I433" s="117"/>
      <c r="J433" s="117"/>
      <c r="K433" s="118"/>
      <c r="L433" s="119"/>
      <c r="M433" s="120">
        <f t="shared" si="124"/>
        <v>0</v>
      </c>
    </row>
    <row r="434" spans="2:16" s="109" customFormat="1" ht="25.5" customHeight="1" x14ac:dyDescent="0.2">
      <c r="B434" s="217" t="s">
        <v>789</v>
      </c>
      <c r="C434" s="218"/>
      <c r="D434" s="218"/>
      <c r="E434" s="311" t="s">
        <v>442</v>
      </c>
      <c r="F434" s="219"/>
      <c r="G434" s="220"/>
      <c r="H434" s="221"/>
      <c r="I434" s="221"/>
      <c r="J434" s="219"/>
      <c r="K434" s="219"/>
      <c r="L434" s="222">
        <f>SUBTOTAL(9,L435:L436)</f>
        <v>209091</v>
      </c>
      <c r="M434" s="223">
        <f t="shared" si="124"/>
        <v>7.5721312123649817E-3</v>
      </c>
    </row>
    <row r="435" spans="2:16" s="109" customFormat="1" ht="54" x14ac:dyDescent="0.2">
      <c r="B435" s="114" t="s">
        <v>790</v>
      </c>
      <c r="C435" s="315" t="str">
        <f>VLOOKUP(D435,Fontes!$A$6:$H$11629,8,FALSE)</f>
        <v>Custo Mercado Reajustado</v>
      </c>
      <c r="D435" s="315" t="str">
        <f>D307</f>
        <v>COT 226</v>
      </c>
      <c r="E435" s="204" t="str">
        <f>VLOOKUP(D435,Fontes!$A$6:$H$11629,2,FALSE)</f>
        <v>Eletrocalha lisa com tampa, em aço galvanizado, dimensões 100x100mm, inclusive curvas e conexões</v>
      </c>
      <c r="F435" s="117">
        <v>100</v>
      </c>
      <c r="G435" s="117" t="str">
        <f>VLOOKUP(D435,Fontes!$A$6:$L$11629,3,FALSE)</f>
        <v>m</v>
      </c>
      <c r="H435" s="117">
        <v>538.28968500000008</v>
      </c>
      <c r="I435" s="117">
        <v>96.157499999999999</v>
      </c>
      <c r="J435" s="117">
        <v>0</v>
      </c>
      <c r="K435" s="118">
        <f t="shared" ref="K435:K436" si="135">ROUND(+H435+I435+J435,2)</f>
        <v>634.45000000000005</v>
      </c>
      <c r="L435" s="317">
        <f t="shared" ref="L435" si="136">ROUND(F435*K435,2)</f>
        <v>63445</v>
      </c>
      <c r="M435" s="318">
        <f t="shared" si="124"/>
        <v>2.2976305281838826E-3</v>
      </c>
    </row>
    <row r="436" spans="2:16" s="109" customFormat="1" ht="54" x14ac:dyDescent="0.2">
      <c r="B436" s="114" t="s">
        <v>791</v>
      </c>
      <c r="C436" s="315" t="str">
        <f>VLOOKUP(D436,Fontes!$A$6:$H$11629,8,FALSE)</f>
        <v>Custo Mercado Reajustado</v>
      </c>
      <c r="D436" s="315" t="str">
        <f>D308</f>
        <v>COT 227</v>
      </c>
      <c r="E436" s="204" t="str">
        <f>VLOOKUP(D436,Fontes!$A$6:$H$11629,2,FALSE)</f>
        <v>Eletrocalha lisa com tampa e septo, em aço galvanizado, dimensões 200x100mm, inclusive curvas e conexões</v>
      </c>
      <c r="F436" s="117">
        <v>200</v>
      </c>
      <c r="G436" s="117" t="str">
        <f>VLOOKUP(D436,Fontes!$A$6:$L$11629,3,FALSE)</f>
        <v>m</v>
      </c>
      <c r="H436" s="117">
        <v>632.07529999999997</v>
      </c>
      <c r="I436" s="117">
        <v>96.157499999999999</v>
      </c>
      <c r="J436" s="117">
        <v>0</v>
      </c>
      <c r="K436" s="118">
        <f t="shared" si="135"/>
        <v>728.23</v>
      </c>
      <c r="L436" s="317">
        <f t="shared" ref="L436" si="137">ROUND(F436*K436,2)</f>
        <v>145646</v>
      </c>
      <c r="M436" s="318">
        <f t="shared" si="124"/>
        <v>5.2745006841810986E-3</v>
      </c>
    </row>
    <row r="437" spans="2:16" s="109" customFormat="1" ht="18" x14ac:dyDescent="0.2">
      <c r="B437" s="114"/>
      <c r="C437" s="115"/>
      <c r="D437" s="115"/>
      <c r="E437" s="116"/>
      <c r="F437" s="117"/>
      <c r="G437" s="117"/>
      <c r="H437" s="117"/>
      <c r="I437" s="117"/>
      <c r="J437" s="117"/>
      <c r="K437" s="118"/>
      <c r="L437" s="119"/>
      <c r="M437" s="120">
        <f t="shared" si="124"/>
        <v>0</v>
      </c>
    </row>
    <row r="438" spans="2:16" s="109" customFormat="1" ht="25.5" customHeight="1" x14ac:dyDescent="0.2">
      <c r="B438" s="217" t="s">
        <v>792</v>
      </c>
      <c r="C438" s="218"/>
      <c r="D438" s="218"/>
      <c r="E438" s="311" t="s">
        <v>443</v>
      </c>
      <c r="F438" s="219"/>
      <c r="G438" s="220"/>
      <c r="H438" s="221"/>
      <c r="I438" s="221"/>
      <c r="J438" s="219"/>
      <c r="K438" s="219"/>
      <c r="L438" s="222">
        <f>SUBTOTAL(9,L439:L443)</f>
        <v>41497.89</v>
      </c>
      <c r="M438" s="223">
        <f t="shared" si="124"/>
        <v>1.5028263680229596E-3</v>
      </c>
    </row>
    <row r="439" spans="2:16" s="109" customFormat="1" ht="18" x14ac:dyDescent="0.2">
      <c r="B439" s="114" t="s">
        <v>793</v>
      </c>
      <c r="C439" s="315" t="str">
        <f>VLOOKUP(D439,Fontes!$A$6:$H$11629,8,FALSE)</f>
        <v>SINAPI / RJ</v>
      </c>
      <c r="D439" s="315">
        <v>98307</v>
      </c>
      <c r="E439" s="204" t="str">
        <f>VLOOKUP(D439,Fontes!$A$6:$H$11629,2,FALSE)</f>
        <v>Tomada de rede rj45 - fornecimento e instalação</v>
      </c>
      <c r="F439" s="117">
        <v>88</v>
      </c>
      <c r="G439" s="203" t="str">
        <f>VLOOKUP(D439,Fontes!$A$6:$L$11629,3,FALSE)</f>
        <v>un</v>
      </c>
      <c r="H439" s="203">
        <v>47.878208955223883</v>
      </c>
      <c r="I439" s="203">
        <v>11.161791044776121</v>
      </c>
      <c r="J439" s="203">
        <v>0</v>
      </c>
      <c r="K439" s="316">
        <f t="shared" ref="K439" si="138">ROUND(+H439+I439+J439,2)</f>
        <v>59.04</v>
      </c>
      <c r="L439" s="317">
        <f t="shared" ref="L439" si="139">ROUND(F439*K439,2)</f>
        <v>5195.5200000000004</v>
      </c>
      <c r="M439" s="318">
        <f t="shared" si="124"/>
        <v>1.8815328807297545E-4</v>
      </c>
      <c r="O439" s="313"/>
      <c r="P439" s="313"/>
    </row>
    <row r="440" spans="2:16" s="313" customFormat="1" ht="18" x14ac:dyDescent="0.2">
      <c r="B440" s="114" t="s">
        <v>794</v>
      </c>
      <c r="C440" s="315" t="str">
        <f>VLOOKUP(D440,Fontes!$A$6:$H$11629,8,FALSE)</f>
        <v>SBC / RJ</v>
      </c>
      <c r="D440" s="115">
        <v>61443</v>
      </c>
      <c r="E440" s="204" t="str">
        <f>VLOOKUP(D440,Fontes!$A$6:$H$11629,2,FALSE)</f>
        <v>Caixa para piso com tomada RJ45</v>
      </c>
      <c r="F440" s="203">
        <v>60</v>
      </c>
      <c r="G440" s="203" t="str">
        <f>VLOOKUP(D440,Fontes!$A$6:$L$11629,3,FALSE)</f>
        <v>un</v>
      </c>
      <c r="H440" s="203">
        <v>40.898989999999998</v>
      </c>
      <c r="I440" s="203">
        <v>20.731557000000002</v>
      </c>
      <c r="J440" s="203">
        <v>0</v>
      </c>
      <c r="K440" s="316">
        <f t="shared" ref="K440:K442" si="140">ROUND(+H440+I440+J440,2)</f>
        <v>61.63</v>
      </c>
      <c r="L440" s="317">
        <f t="shared" ref="L440:L442" si="141">ROUND(F440*K440,2)</f>
        <v>3697.8</v>
      </c>
      <c r="M440" s="318">
        <f t="shared" si="124"/>
        <v>1.3391406993645461E-4</v>
      </c>
    </row>
    <row r="441" spans="2:16" s="109" customFormat="1" ht="18" x14ac:dyDescent="0.2">
      <c r="B441" s="114" t="s">
        <v>795</v>
      </c>
      <c r="C441" s="315" t="str">
        <f>VLOOKUP(D441,Fontes!$A$6:$H$11629,8,FALSE)</f>
        <v>CDHU</v>
      </c>
      <c r="D441" s="115" t="s">
        <v>2289</v>
      </c>
      <c r="E441" s="204" t="str">
        <f>VLOOKUP(D441,Fontes!$A$6:$H$11629,2,FALSE)</f>
        <v>Ponto de acesso de dados (Access Point), uso interno</v>
      </c>
      <c r="F441" s="117">
        <v>15</v>
      </c>
      <c r="G441" s="203" t="str">
        <f>VLOOKUP(D441,Fontes!$A$6:$L$11629,3,FALSE)</f>
        <v>un</v>
      </c>
      <c r="H441" s="203">
        <v>1072.5899999999999</v>
      </c>
      <c r="I441" s="203">
        <v>223.32</v>
      </c>
      <c r="J441" s="203">
        <v>0</v>
      </c>
      <c r="K441" s="316">
        <f t="shared" ref="K441" si="142">ROUND(+H441+I441+J441,2)</f>
        <v>1295.9100000000001</v>
      </c>
      <c r="L441" s="317">
        <f t="shared" ref="L441" si="143">ROUND(F441*K441,2)</f>
        <v>19438.650000000001</v>
      </c>
      <c r="M441" s="318">
        <f t="shared" si="124"/>
        <v>7.0396147319223953E-4</v>
      </c>
    </row>
    <row r="442" spans="2:16" s="313" customFormat="1" ht="18" x14ac:dyDescent="0.2">
      <c r="B442" s="114" t="s">
        <v>796</v>
      </c>
      <c r="C442" s="315" t="str">
        <f>VLOOKUP(D442,Fontes!$A$6:$H$11629,8,FALSE)</f>
        <v>SINAPI / RJ</v>
      </c>
      <c r="D442" s="315">
        <v>98307</v>
      </c>
      <c r="E442" s="204" t="str">
        <f>VLOOKUP(D442,Fontes!$A$6:$H$11629,2,FALSE)</f>
        <v>Tomada de rede rj45 - fornecimento e instalação</v>
      </c>
      <c r="F442" s="203">
        <v>223</v>
      </c>
      <c r="G442" s="203" t="str">
        <f>VLOOKUP(D442,Fontes!$A$6:$L$11629,3,FALSE)</f>
        <v>un</v>
      </c>
      <c r="H442" s="203">
        <v>47.878208955223883</v>
      </c>
      <c r="I442" s="203">
        <v>11.161791044776121</v>
      </c>
      <c r="J442" s="203">
        <v>0</v>
      </c>
      <c r="K442" s="316">
        <f t="shared" si="140"/>
        <v>59.04</v>
      </c>
      <c r="L442" s="317">
        <f t="shared" si="141"/>
        <v>13165.92</v>
      </c>
      <c r="M442" s="318">
        <f t="shared" si="124"/>
        <v>4.7679753682129005E-4</v>
      </c>
    </row>
    <row r="443" spans="2:16" s="109" customFormat="1" ht="18" x14ac:dyDescent="0.2">
      <c r="B443" s="114"/>
      <c r="C443" s="115"/>
      <c r="D443" s="115"/>
      <c r="E443" s="116"/>
      <c r="F443" s="117"/>
      <c r="G443" s="117"/>
      <c r="H443" s="117"/>
      <c r="I443" s="117"/>
      <c r="J443" s="117"/>
      <c r="K443" s="118"/>
      <c r="L443" s="119"/>
      <c r="M443" s="120">
        <f t="shared" si="124"/>
        <v>0</v>
      </c>
    </row>
    <row r="444" spans="2:16" s="109" customFormat="1" ht="25.5" customHeight="1" x14ac:dyDescent="0.2">
      <c r="B444" s="217" t="s">
        <v>797</v>
      </c>
      <c r="C444" s="218"/>
      <c r="D444" s="218"/>
      <c r="E444" s="311" t="s">
        <v>444</v>
      </c>
      <c r="F444" s="219"/>
      <c r="G444" s="220"/>
      <c r="H444" s="221"/>
      <c r="I444" s="221"/>
      <c r="J444" s="219"/>
      <c r="K444" s="219"/>
      <c r="L444" s="222">
        <f>SUBTOTAL(9,L445:L452)</f>
        <v>79025.03</v>
      </c>
      <c r="M444" s="223">
        <f t="shared" si="124"/>
        <v>2.8618539115556336E-3</v>
      </c>
    </row>
    <row r="445" spans="2:16" s="313" customFormat="1" ht="108" x14ac:dyDescent="0.2">
      <c r="B445" s="314" t="s">
        <v>798</v>
      </c>
      <c r="C445" s="315" t="str">
        <f>VLOOKUP(D445,Fontes!$A$6:$H$11629,8,FALSE)</f>
        <v>SBC / RJ</v>
      </c>
      <c r="D445" s="315">
        <v>59319</v>
      </c>
      <c r="E445" s="204" t="s">
        <v>445</v>
      </c>
      <c r="F445" s="203">
        <v>3</v>
      </c>
      <c r="G445" s="203" t="str">
        <f>VLOOKUP(D445,Fontes!$A$6:$L$11629,3,FALSE)</f>
        <v>un</v>
      </c>
      <c r="H445" s="203">
        <v>4474.72</v>
      </c>
      <c r="I445" s="203">
        <v>24.929999999999382</v>
      </c>
      <c r="J445" s="203">
        <v>0</v>
      </c>
      <c r="K445" s="316">
        <f t="shared" ref="K445" si="144">ROUND(+H445+I445+J445,2)</f>
        <v>4499.6499999999996</v>
      </c>
      <c r="L445" s="317">
        <f t="shared" ref="L445" si="145">ROUND(F445*K445,2)</f>
        <v>13498.95</v>
      </c>
      <c r="M445" s="318">
        <f t="shared" si="124"/>
        <v>4.8885806002723351E-4</v>
      </c>
    </row>
    <row r="446" spans="2:16" s="313" customFormat="1" ht="18" x14ac:dyDescent="0.2">
      <c r="B446" s="314" t="s">
        <v>799</v>
      </c>
      <c r="C446" s="315" t="str">
        <f>VLOOKUP(D446,Fontes!$A$6:$H$11629,8,FALSE)</f>
        <v>SBC / RJ</v>
      </c>
      <c r="D446" s="315">
        <v>59464</v>
      </c>
      <c r="E446" s="204" t="str">
        <f>VLOOKUP(D446,Fontes!$A$6:$H$11629,2,FALSE)</f>
        <v>Patch pannel cat 6 24 portas</v>
      </c>
      <c r="F446" s="203">
        <v>12</v>
      </c>
      <c r="G446" s="203" t="str">
        <f>VLOOKUP(D446,Fontes!$A$6:$L$11629,3,FALSE)</f>
        <v>un</v>
      </c>
      <c r="H446" s="203">
        <v>664.05</v>
      </c>
      <c r="I446" s="203">
        <v>351.35</v>
      </c>
      <c r="J446" s="203">
        <v>0</v>
      </c>
      <c r="K446" s="316">
        <f t="shared" ref="K446:K451" si="146">ROUND(+H446+I446+J446,2)</f>
        <v>1015.4</v>
      </c>
      <c r="L446" s="317">
        <f t="shared" ref="L446:L451" si="147">ROUND(F446*K446,2)</f>
        <v>12184.8</v>
      </c>
      <c r="M446" s="318">
        <f t="shared" si="124"/>
        <v>4.4126674221475255E-4</v>
      </c>
    </row>
    <row r="447" spans="2:16" s="109" customFormat="1" ht="18" x14ac:dyDescent="0.2">
      <c r="B447" s="314" t="s">
        <v>800</v>
      </c>
      <c r="C447" s="315" t="str">
        <f>VLOOKUP(D447,Fontes!$A$6:$H$11629,8,FALSE)</f>
        <v>CDHU</v>
      </c>
      <c r="D447" s="115" t="s">
        <v>2301</v>
      </c>
      <c r="E447" s="204" t="str">
        <f>VLOOKUP(D447,Fontes!$A$6:$H$11629,2,FALSE)</f>
        <v>Voice Panel de 50 portas categoria 6</v>
      </c>
      <c r="F447" s="117">
        <v>3</v>
      </c>
      <c r="G447" s="203" t="str">
        <f>VLOOKUP(D447,Fontes!$A$6:$L$11629,3,FALSE)</f>
        <v>un</v>
      </c>
      <c r="H447" s="203">
        <v>627.65</v>
      </c>
      <c r="I447" s="203">
        <v>44.67</v>
      </c>
      <c r="J447" s="203">
        <v>0</v>
      </c>
      <c r="K447" s="316">
        <f t="shared" ref="K447" si="148">ROUND(+H447+I447+J447,2)</f>
        <v>672.32</v>
      </c>
      <c r="L447" s="317">
        <f t="shared" ref="L447" si="149">ROUND(F447*K447,2)</f>
        <v>2016.96</v>
      </c>
      <c r="M447" s="318">
        <f t="shared" ref="M447:M478" si="150">+L447/$L$851</f>
        <v>7.3043248012069742E-5</v>
      </c>
    </row>
    <row r="448" spans="2:16" s="313" customFormat="1" ht="18" x14ac:dyDescent="0.2">
      <c r="B448" s="314" t="s">
        <v>801</v>
      </c>
      <c r="C448" s="315" t="str">
        <f>VLOOKUP(D448,Fontes!$A$6:$H$11629,8,FALSE)</f>
        <v>SBC / RJ</v>
      </c>
      <c r="D448" s="315">
        <v>59332</v>
      </c>
      <c r="E448" s="204" t="str">
        <f>VLOOKUP(D448,Fontes!$A$6:$H$11629,2,FALSE)</f>
        <v>Switch 8 portas 10/100 Mbps</v>
      </c>
      <c r="F448" s="203">
        <v>1</v>
      </c>
      <c r="G448" s="203" t="str">
        <f>VLOOKUP(D448,Fontes!$A$6:$L$11629,3,FALSE)</f>
        <v>un</v>
      </c>
      <c r="H448" s="203">
        <v>133</v>
      </c>
      <c r="I448" s="203">
        <v>224.41000000000003</v>
      </c>
      <c r="J448" s="203">
        <v>0</v>
      </c>
      <c r="K448" s="316">
        <f t="shared" si="146"/>
        <v>357.41</v>
      </c>
      <c r="L448" s="317">
        <f t="shared" si="147"/>
        <v>357.41</v>
      </c>
      <c r="M448" s="318">
        <f t="shared" si="150"/>
        <v>1.2943433321431186E-5</v>
      </c>
    </row>
    <row r="449" spans="2:13" s="313" customFormat="1" ht="18" x14ac:dyDescent="0.2">
      <c r="B449" s="314" t="s">
        <v>802</v>
      </c>
      <c r="C449" s="315" t="str">
        <f>VLOOKUP(D449,Fontes!$A$6:$H$11629,8,FALSE)</f>
        <v>SBC / RJ</v>
      </c>
      <c r="D449" s="315">
        <v>59252</v>
      </c>
      <c r="E449" s="204" t="str">
        <f>VLOOKUP(D449,Fontes!$A$6:$H$11629,2,FALSE)</f>
        <v>Switch 24 portas</v>
      </c>
      <c r="F449" s="203">
        <v>8</v>
      </c>
      <c r="G449" s="203" t="str">
        <f>VLOOKUP(D449,Fontes!$A$6:$L$11629,3,FALSE)</f>
        <v>un</v>
      </c>
      <c r="H449" s="203">
        <v>601.91999999999996</v>
      </c>
      <c r="I449" s="203">
        <v>481.71000000000015</v>
      </c>
      <c r="J449" s="203">
        <v>0</v>
      </c>
      <c r="K449" s="316">
        <f t="shared" si="146"/>
        <v>1083.6300000000001</v>
      </c>
      <c r="L449" s="317">
        <f t="shared" si="147"/>
        <v>8669.0400000000009</v>
      </c>
      <c r="M449" s="318">
        <f t="shared" si="150"/>
        <v>3.1394516437933972E-4</v>
      </c>
    </row>
    <row r="450" spans="2:13" s="313" customFormat="1" ht="18" x14ac:dyDescent="0.2">
      <c r="B450" s="314" t="s">
        <v>803</v>
      </c>
      <c r="C450" s="315" t="str">
        <f>VLOOKUP(D450,Fontes!$A$6:$H$11629,8,FALSE)</f>
        <v>SBC / RJ</v>
      </c>
      <c r="D450" s="315">
        <v>59448</v>
      </c>
      <c r="E450" s="204" t="str">
        <f>VLOOKUP(D450,Fontes!$A$6:$H$11629,2,FALSE)</f>
        <v>Guia horizontal de cabos padrão 19"</v>
      </c>
      <c r="F450" s="203">
        <v>27</v>
      </c>
      <c r="G450" s="203" t="str">
        <f>VLOOKUP(D450,Fontes!$A$6:$L$11629,3,FALSE)</f>
        <v>un</v>
      </c>
      <c r="H450" s="203">
        <v>28.5</v>
      </c>
      <c r="I450" s="203">
        <v>2.59</v>
      </c>
      <c r="J450" s="203">
        <v>0</v>
      </c>
      <c r="K450" s="316">
        <f t="shared" si="146"/>
        <v>31.09</v>
      </c>
      <c r="L450" s="317">
        <f t="shared" si="147"/>
        <v>839.43</v>
      </c>
      <c r="M450" s="318">
        <f t="shared" si="150"/>
        <v>3.0399558582605353E-5</v>
      </c>
    </row>
    <row r="451" spans="2:13" s="313" customFormat="1" ht="18" x14ac:dyDescent="0.2">
      <c r="B451" s="314" t="s">
        <v>804</v>
      </c>
      <c r="C451" s="315" t="str">
        <f>VLOOKUP(D451,Fontes!$A$6:$H$11629,8,FALSE)</f>
        <v>SBC / RJ</v>
      </c>
      <c r="D451" s="315">
        <v>59251</v>
      </c>
      <c r="E451" s="204" t="str">
        <f>VLOOKUP(D451,Fontes!$A$6:$H$11629,2,FALSE)</f>
        <v>Distribuidor óptico interno 24 fibras</v>
      </c>
      <c r="F451" s="203">
        <v>3</v>
      </c>
      <c r="G451" s="203" t="str">
        <f>VLOOKUP(D451,Fontes!$A$6:$L$11629,3,FALSE)</f>
        <v>un</v>
      </c>
      <c r="H451" s="203">
        <v>311.89999999999998</v>
      </c>
      <c r="I451" s="203">
        <v>141.69</v>
      </c>
      <c r="J451" s="203">
        <v>0</v>
      </c>
      <c r="K451" s="316">
        <f t="shared" si="146"/>
        <v>453.59</v>
      </c>
      <c r="L451" s="317">
        <f t="shared" si="147"/>
        <v>1360.77</v>
      </c>
      <c r="M451" s="318">
        <f t="shared" si="150"/>
        <v>4.9279638960308648E-5</v>
      </c>
    </row>
    <row r="452" spans="2:13" s="109" customFormat="1" ht="126" x14ac:dyDescent="0.2">
      <c r="B452" s="314" t="s">
        <v>805</v>
      </c>
      <c r="C452" s="315" t="str">
        <f>VLOOKUP(D452,Fontes!$A$6:$H$11629,8,FALSE)</f>
        <v>Custo Mercado Reajustado</v>
      </c>
      <c r="D452" s="315" t="s">
        <v>1752</v>
      </c>
      <c r="E452" s="204" t="str">
        <f>VLOOKUP(D452,Fontes!$A$6:$H$11629,2,FALSE)</f>
        <v>No-breaks de 3 KVA, tensão de entrada: 220 VCA três fios mais um terra. As UPSs devem possuir tecnologia dupla conversão, true on line, com retificador de 6 pulsos e inversor com IGBT, controlado por microprocessador (DSP). Deve possuir entradas distintas para o ramo do retificador e ramo do by-pass, além de porta de comunicação RS 232 Incluso baterias e gabinetes de montagem igual ao da UPS.</v>
      </c>
      <c r="F452" s="117">
        <v>3</v>
      </c>
      <c r="G452" s="203" t="str">
        <f>VLOOKUP(D452,Fontes!$A$6:$L$11629,3,FALSE)</f>
        <v>un</v>
      </c>
      <c r="H452" s="203">
        <v>9519.5925000000007</v>
      </c>
      <c r="I452" s="203">
        <v>3846.3</v>
      </c>
      <c r="J452" s="203">
        <v>0</v>
      </c>
      <c r="K452" s="316">
        <f t="shared" ref="K452" si="151">ROUND(+H452+I452+J452,2)</f>
        <v>13365.89</v>
      </c>
      <c r="L452" s="317">
        <f t="shared" ref="L452" si="152">ROUND(F452*K452,2)</f>
        <v>40097.67</v>
      </c>
      <c r="M452" s="318">
        <f t="shared" si="150"/>
        <v>1.4521180660578932E-3</v>
      </c>
    </row>
    <row r="453" spans="2:13" s="109" customFormat="1" ht="18" x14ac:dyDescent="0.2">
      <c r="B453" s="114"/>
      <c r="C453" s="115"/>
      <c r="D453" s="115"/>
      <c r="E453" s="116"/>
      <c r="F453" s="117"/>
      <c r="G453" s="117"/>
      <c r="H453" s="117"/>
      <c r="I453" s="117"/>
      <c r="J453" s="117"/>
      <c r="K453" s="118"/>
      <c r="L453" s="119"/>
      <c r="M453" s="120">
        <f t="shared" si="150"/>
        <v>0</v>
      </c>
    </row>
    <row r="454" spans="2:13" s="109" customFormat="1" ht="18" x14ac:dyDescent="0.2">
      <c r="B454" s="217" t="s">
        <v>806</v>
      </c>
      <c r="C454" s="218"/>
      <c r="D454" s="218"/>
      <c r="E454" s="311" t="s">
        <v>76</v>
      </c>
      <c r="F454" s="219"/>
      <c r="G454" s="220"/>
      <c r="H454" s="221"/>
      <c r="I454" s="221"/>
      <c r="J454" s="219"/>
      <c r="K454" s="219"/>
      <c r="L454" s="222">
        <f>SUBTOTAL(9,L455:L458)</f>
        <v>17140.350000000002</v>
      </c>
      <c r="M454" s="223">
        <f t="shared" si="150"/>
        <v>6.2072963076296984E-4</v>
      </c>
    </row>
    <row r="455" spans="2:13" s="109" customFormat="1" ht="36" x14ac:dyDescent="0.2">
      <c r="B455" s="114" t="s">
        <v>807</v>
      </c>
      <c r="C455" s="115"/>
      <c r="D455" s="115" t="s">
        <v>1380</v>
      </c>
      <c r="E455" s="204" t="str">
        <f>VLOOKUP(D455,Fontes!$A$6:$H$11629,2,FALSE)</f>
        <v>Servidor de gravação com 32 canais de entrada, referencia NVC 7132 da Intelbrás ou equivalente</v>
      </c>
      <c r="F455" s="117">
        <v>1</v>
      </c>
      <c r="G455" s="203" t="str">
        <f>VLOOKUP(D455,Fontes!$A$6:$L$11629,3,FALSE)</f>
        <v>un</v>
      </c>
      <c r="H455" s="203">
        <v>7461.7963579999996</v>
      </c>
      <c r="I455" s="203">
        <v>0</v>
      </c>
      <c r="J455" s="203">
        <v>0</v>
      </c>
      <c r="K455" s="316">
        <f t="shared" ref="K455" si="153">ROUND(+H455+I455+J455,2)</f>
        <v>7461.8</v>
      </c>
      <c r="L455" s="317">
        <f t="shared" ref="L455" si="154">ROUND(F455*K455,2)</f>
        <v>7461.8</v>
      </c>
      <c r="M455" s="318">
        <f t="shared" si="150"/>
        <v>2.702255414170147E-4</v>
      </c>
    </row>
    <row r="456" spans="2:13" s="313" customFormat="1" ht="18" x14ac:dyDescent="0.2">
      <c r="B456" s="114" t="s">
        <v>808</v>
      </c>
      <c r="C456" s="315" t="str">
        <f>VLOOKUP(D456,Fontes!$A$6:$H$11629,8,FALSE)</f>
        <v>SBC / RJ</v>
      </c>
      <c r="D456" s="315">
        <v>67207</v>
      </c>
      <c r="E456" s="204" t="str">
        <f>VLOOKUP(D456,Fontes!$A$6:$H$11629,2,FALSE)</f>
        <v>Câmera externa Bullet infravermelho</v>
      </c>
      <c r="F456" s="203">
        <v>7</v>
      </c>
      <c r="G456" s="203" t="str">
        <f>VLOOKUP(D456,Fontes!$A$6:$L$11629,3,FALSE)</f>
        <v>un</v>
      </c>
      <c r="H456" s="203">
        <v>144.41</v>
      </c>
      <c r="I456" s="203">
        <v>422.9</v>
      </c>
      <c r="J456" s="203">
        <v>0</v>
      </c>
      <c r="K456" s="316">
        <f t="shared" ref="K456:K458" si="155">ROUND(+H456+I456+J456,2)</f>
        <v>567.30999999999995</v>
      </c>
      <c r="L456" s="317">
        <f t="shared" ref="L456:L458" si="156">ROUND(F456*K456,2)</f>
        <v>3971.17</v>
      </c>
      <c r="M456" s="318">
        <f t="shared" si="150"/>
        <v>1.4381403459071623E-4</v>
      </c>
    </row>
    <row r="457" spans="2:13" s="313" customFormat="1" ht="18" x14ac:dyDescent="0.2">
      <c r="B457" s="114" t="s">
        <v>809</v>
      </c>
      <c r="C457" s="315" t="str">
        <f>VLOOKUP(D457,Fontes!$A$6:$H$11629,8,FALSE)</f>
        <v>SBC / RJ</v>
      </c>
      <c r="D457" s="315">
        <v>59438</v>
      </c>
      <c r="E457" s="204" t="str">
        <f>VLOOKUP(D457,Fontes!$A$6:$H$11629,2,FALSE)</f>
        <v>Câmera Dome full HD infravermelho</v>
      </c>
      <c r="F457" s="203">
        <v>15</v>
      </c>
      <c r="G457" s="203" t="str">
        <f>VLOOKUP(D457,Fontes!$A$6:$L$11629,3,FALSE)</f>
        <v>un</v>
      </c>
      <c r="H457" s="203">
        <v>207.1</v>
      </c>
      <c r="I457" s="203">
        <v>86.799999999999983</v>
      </c>
      <c r="J457" s="203">
        <v>0</v>
      </c>
      <c r="K457" s="316">
        <f t="shared" si="155"/>
        <v>293.89999999999998</v>
      </c>
      <c r="L457" s="317">
        <f t="shared" si="156"/>
        <v>4408.5</v>
      </c>
      <c r="M457" s="318">
        <f t="shared" si="150"/>
        <v>1.5965173273699499E-4</v>
      </c>
    </row>
    <row r="458" spans="2:13" s="313" customFormat="1" ht="18" x14ac:dyDescent="0.2">
      <c r="B458" s="114" t="s">
        <v>810</v>
      </c>
      <c r="C458" s="315" t="str">
        <f>VLOOKUP(D458,Fontes!$A$6:$H$11629,8,FALSE)</f>
        <v>SINAPI / RJ</v>
      </c>
      <c r="D458" s="315">
        <v>98307</v>
      </c>
      <c r="E458" s="204" t="str">
        <f>VLOOKUP(D458,Fontes!$A$6:$H$11629,2,FALSE)</f>
        <v>Tomada de rede rj45 - fornecimento e instalação</v>
      </c>
      <c r="F458" s="203">
        <v>22</v>
      </c>
      <c r="G458" s="203" t="str">
        <f>VLOOKUP(D458,Fontes!$A$6:$L$11629,3,FALSE)</f>
        <v>un</v>
      </c>
      <c r="H458" s="203">
        <v>47.878208955223883</v>
      </c>
      <c r="I458" s="203">
        <v>11.161791044776121</v>
      </c>
      <c r="J458" s="203">
        <v>0</v>
      </c>
      <c r="K458" s="316">
        <f t="shared" si="155"/>
        <v>59.04</v>
      </c>
      <c r="L458" s="317">
        <f t="shared" si="156"/>
        <v>1298.8800000000001</v>
      </c>
      <c r="M458" s="318">
        <f t="shared" si="150"/>
        <v>4.7038322018243863E-5</v>
      </c>
    </row>
    <row r="459" spans="2:13" s="109" customFormat="1" ht="18" x14ac:dyDescent="0.2">
      <c r="B459" s="114"/>
      <c r="C459" s="115"/>
      <c r="D459" s="115"/>
      <c r="E459" s="116"/>
      <c r="F459" s="117"/>
      <c r="G459" s="117"/>
      <c r="H459" s="117"/>
      <c r="I459" s="117"/>
      <c r="J459" s="117"/>
      <c r="K459" s="118"/>
      <c r="L459" s="119"/>
      <c r="M459" s="120">
        <f t="shared" si="150"/>
        <v>0</v>
      </c>
    </row>
    <row r="460" spans="2:13" s="109" customFormat="1" ht="18" x14ac:dyDescent="0.2">
      <c r="B460" s="217" t="s">
        <v>811</v>
      </c>
      <c r="C460" s="218"/>
      <c r="D460" s="218"/>
      <c r="E460" s="311" t="s">
        <v>447</v>
      </c>
      <c r="F460" s="219"/>
      <c r="G460" s="220"/>
      <c r="H460" s="221"/>
      <c r="I460" s="221"/>
      <c r="J460" s="219"/>
      <c r="K460" s="219"/>
      <c r="L460" s="222">
        <f>SUBTOTAL(9,L461:L464)</f>
        <v>7720.15</v>
      </c>
      <c r="M460" s="223">
        <f t="shared" si="150"/>
        <v>2.7958156390824811E-4</v>
      </c>
    </row>
    <row r="461" spans="2:13" s="313" customFormat="1" ht="18" x14ac:dyDescent="0.2">
      <c r="B461" s="314" t="s">
        <v>812</v>
      </c>
      <c r="C461" s="315" t="str">
        <f>VLOOKUP(D461,Fontes!$A$6:$H$11629,8,FALSE)</f>
        <v>SBC / RJ</v>
      </c>
      <c r="D461" s="315">
        <v>58145</v>
      </c>
      <c r="E461" s="204" t="str">
        <f>VLOOKUP(D461,Fontes!$A$6:$H$11629,2,FALSE)</f>
        <v>Central de alarme de incêncio endereçavel</v>
      </c>
      <c r="F461" s="203">
        <v>1</v>
      </c>
      <c r="G461" s="203" t="str">
        <f>VLOOKUP(D461,Fontes!$A$6:$L$11629,3,FALSE)</f>
        <v>un</v>
      </c>
      <c r="H461" s="203">
        <v>1498.37</v>
      </c>
      <c r="I461" s="203">
        <v>181.34000000000015</v>
      </c>
      <c r="J461" s="203">
        <v>0</v>
      </c>
      <c r="K461" s="316">
        <f t="shared" ref="K461:K464" si="157">ROUND(+H461+I461+J461,2)</f>
        <v>1679.71</v>
      </c>
      <c r="L461" s="317">
        <f t="shared" ref="L461:L463" si="158">ROUND(F461*K461,2)</f>
        <v>1679.71</v>
      </c>
      <c r="M461" s="318">
        <f t="shared" si="150"/>
        <v>6.0829899511320826E-5</v>
      </c>
    </row>
    <row r="462" spans="2:13" s="313" customFormat="1" ht="18" x14ac:dyDescent="0.2">
      <c r="B462" s="314" t="s">
        <v>813</v>
      </c>
      <c r="C462" s="315" t="str">
        <f>VLOOKUP(D462,Fontes!$A$6:$H$11629,8,FALSE)</f>
        <v>SBC / RJ</v>
      </c>
      <c r="D462" s="315">
        <v>55530</v>
      </c>
      <c r="E462" s="204" t="str">
        <f>VLOOKUP(D462,Fontes!$A$6:$H$11629,2,FALSE)</f>
        <v>Sirene audio visual para alarme de incêndio</v>
      </c>
      <c r="F462" s="203">
        <v>14</v>
      </c>
      <c r="G462" s="203" t="str">
        <f>VLOOKUP(D462,Fontes!$A$6:$L$11629,3,FALSE)</f>
        <v>un</v>
      </c>
      <c r="H462" s="203">
        <v>285.36</v>
      </c>
      <c r="I462" s="203">
        <v>34.659999999999968</v>
      </c>
      <c r="J462" s="203">
        <v>0</v>
      </c>
      <c r="K462" s="316">
        <f t="shared" si="157"/>
        <v>320.02</v>
      </c>
      <c r="L462" s="317">
        <f t="shared" si="158"/>
        <v>4480.28</v>
      </c>
      <c r="M462" s="318">
        <f t="shared" si="150"/>
        <v>1.6225121132968219E-4</v>
      </c>
    </row>
    <row r="463" spans="2:13" s="313" customFormat="1" ht="18" x14ac:dyDescent="0.2">
      <c r="B463" s="314" t="s">
        <v>814</v>
      </c>
      <c r="C463" s="315" t="str">
        <f>VLOOKUP(D463,Fontes!$A$6:$H$11629,8,FALSE)</f>
        <v>SBC / RJ</v>
      </c>
      <c r="D463" s="315">
        <v>58610</v>
      </c>
      <c r="E463" s="204" t="str">
        <f>VLOOKUP(D463,Fontes!$A$6:$H$11629,2,FALSE)</f>
        <v>Acionador manual endereçavel</v>
      </c>
      <c r="F463" s="203">
        <v>8</v>
      </c>
      <c r="G463" s="203" t="str">
        <f>VLOOKUP(D463,Fontes!$A$6:$L$11629,3,FALSE)</f>
        <v>un</v>
      </c>
      <c r="H463" s="203">
        <v>100.42</v>
      </c>
      <c r="I463" s="203">
        <v>33.339999999999989</v>
      </c>
      <c r="J463" s="203">
        <v>0</v>
      </c>
      <c r="K463" s="316">
        <f t="shared" si="157"/>
        <v>133.76</v>
      </c>
      <c r="L463" s="317">
        <f t="shared" si="158"/>
        <v>1070.08</v>
      </c>
      <c r="M463" s="318">
        <f t="shared" si="150"/>
        <v>3.8752438735897375E-5</v>
      </c>
    </row>
    <row r="464" spans="2:13" s="109" customFormat="1" ht="18" x14ac:dyDescent="0.2">
      <c r="B464" s="114" t="s">
        <v>815</v>
      </c>
      <c r="C464" s="315" t="str">
        <f>VLOOKUP(D464,Fontes!$A$6:$H$11629,8,FALSE)</f>
        <v>SBC / RJ</v>
      </c>
      <c r="D464" s="115">
        <v>55650</v>
      </c>
      <c r="E464" s="204" t="str">
        <f>VLOOKUP(D464,Fontes!$A$6:$H$11629,2,FALSE)</f>
        <v>Botão de alarme de incêndio acionamento manual</v>
      </c>
      <c r="F464" s="117">
        <v>6</v>
      </c>
      <c r="G464" s="117" t="str">
        <f>VLOOKUP(D464,Fontes!$A$6:$L$11629,3,FALSE)</f>
        <v>un</v>
      </c>
      <c r="H464" s="117">
        <v>47.02</v>
      </c>
      <c r="I464" s="117">
        <v>34.660000000000004</v>
      </c>
      <c r="J464" s="117">
        <v>0</v>
      </c>
      <c r="K464" s="118">
        <f t="shared" si="157"/>
        <v>81.680000000000007</v>
      </c>
      <c r="L464" s="317">
        <f t="shared" ref="L464" si="159">ROUND(F464*K464,2)</f>
        <v>490.08</v>
      </c>
      <c r="M464" s="318">
        <f t="shared" si="150"/>
        <v>1.7748014331347737E-5</v>
      </c>
    </row>
    <row r="465" spans="2:13" s="109" customFormat="1" ht="18" x14ac:dyDescent="0.2">
      <c r="B465" s="114"/>
      <c r="C465" s="115"/>
      <c r="D465" s="115"/>
      <c r="E465" s="116"/>
      <c r="F465" s="117"/>
      <c r="G465" s="117"/>
      <c r="H465" s="117"/>
      <c r="I465" s="117"/>
      <c r="J465" s="117"/>
      <c r="K465" s="118"/>
      <c r="L465" s="119"/>
      <c r="M465" s="120">
        <f t="shared" si="150"/>
        <v>0</v>
      </c>
    </row>
    <row r="466" spans="2:13" s="109" customFormat="1" ht="18" x14ac:dyDescent="0.2">
      <c r="B466" s="217" t="s">
        <v>816</v>
      </c>
      <c r="C466" s="218"/>
      <c r="D466" s="218"/>
      <c r="E466" s="311" t="s">
        <v>446</v>
      </c>
      <c r="F466" s="219"/>
      <c r="G466" s="220"/>
      <c r="H466" s="221"/>
      <c r="I466" s="221"/>
      <c r="J466" s="219"/>
      <c r="K466" s="219"/>
      <c r="L466" s="222">
        <f>SUBTOTAL(9,L467:L473)</f>
        <v>119453.13</v>
      </c>
      <c r="M466" s="223">
        <f t="shared" si="150"/>
        <v>4.3259383430548984E-3</v>
      </c>
    </row>
    <row r="467" spans="2:13" s="313" customFormat="1" ht="18" x14ac:dyDescent="0.2">
      <c r="B467" s="314" t="s">
        <v>817</v>
      </c>
      <c r="C467" s="315" t="str">
        <f>VLOOKUP(D467,Fontes!$A$6:$H$11629,8,FALSE)</f>
        <v>SBC / RJ</v>
      </c>
      <c r="D467" s="315">
        <v>63378</v>
      </c>
      <c r="E467" s="204" t="str">
        <f>VLOOKUP(D467,Fontes!$A$6:$H$11629,2,FALSE)</f>
        <v>Cabo UTP CAT 6</v>
      </c>
      <c r="F467" s="203">
        <v>9000</v>
      </c>
      <c r="G467" s="203" t="str">
        <f>VLOOKUP(D467,Fontes!$A$6:$L$11629,3,FALSE)</f>
        <v>m</v>
      </c>
      <c r="H467" s="203">
        <v>4.9400000000000004</v>
      </c>
      <c r="I467" s="203">
        <v>5.78</v>
      </c>
      <c r="J467" s="203">
        <v>0</v>
      </c>
      <c r="K467" s="316">
        <f t="shared" ref="K467:K473" si="160">ROUND(+H467+I467+J467,2)</f>
        <v>10.72</v>
      </c>
      <c r="L467" s="317">
        <f t="shared" ref="L467:L473" si="161">ROUND(F467*K467,2)</f>
        <v>96480</v>
      </c>
      <c r="M467" s="318">
        <f t="shared" si="150"/>
        <v>3.4939773561223266E-3</v>
      </c>
    </row>
    <row r="468" spans="2:13" s="313" customFormat="1" ht="18" x14ac:dyDescent="0.2">
      <c r="B468" s="314" t="s">
        <v>818</v>
      </c>
      <c r="C468" s="315" t="str">
        <f>VLOOKUP(D468,Fontes!$A$6:$H$11629,8,FALSE)</f>
        <v>SBC / RJ</v>
      </c>
      <c r="D468" s="315">
        <v>59565</v>
      </c>
      <c r="E468" s="204" t="str">
        <f>VLOOKUP(D468,Fontes!$A$6:$H$11629,2,FALSE)</f>
        <v>Cabo de fibra óptica multimodo 6 fibras</v>
      </c>
      <c r="F468" s="203">
        <v>100</v>
      </c>
      <c r="G468" s="203" t="str">
        <f>VLOOKUP(D468,Fontes!$A$6:$L$11629,3,FALSE)</f>
        <v>m</v>
      </c>
      <c r="H468" s="203">
        <v>23.32</v>
      </c>
      <c r="I468" s="203">
        <v>8.2899999999999991</v>
      </c>
      <c r="J468" s="203">
        <v>0</v>
      </c>
      <c r="K468" s="316">
        <f t="shared" si="160"/>
        <v>31.61</v>
      </c>
      <c r="L468" s="317">
        <f t="shared" si="161"/>
        <v>3161</v>
      </c>
      <c r="M468" s="318">
        <f t="shared" si="150"/>
        <v>1.1447411300479555E-4</v>
      </c>
    </row>
    <row r="469" spans="2:13" s="109" customFormat="1" ht="36" x14ac:dyDescent="0.2">
      <c r="B469" s="314" t="s">
        <v>819</v>
      </c>
      <c r="C469" s="315" t="str">
        <f>VLOOKUP(D469,Fontes!$A$6:$H$11629,8,FALSE)</f>
        <v>CDHU</v>
      </c>
      <c r="D469" s="115" t="s">
        <v>2291</v>
      </c>
      <c r="E469" s="204" t="str">
        <f>VLOOKUP(D469,Fontes!$A$6:$H$11629,2,FALSE)</f>
        <v>Cabo telefônico CI, com 50 pares de 0,50 mm, para centrais telefônicas, equipamentos e rede interna</v>
      </c>
      <c r="F469" s="117">
        <v>100</v>
      </c>
      <c r="G469" s="203" t="str">
        <f>VLOOKUP(D469,Fontes!$A$6:$L$11629,3,FALSE)</f>
        <v>m</v>
      </c>
      <c r="H469" s="203">
        <v>33.68</v>
      </c>
      <c r="I469" s="203">
        <v>8.3800000000000008</v>
      </c>
      <c r="J469" s="203">
        <v>0</v>
      </c>
      <c r="K469" s="316">
        <f t="shared" ref="K469" si="162">ROUND(+H469+I469+J469,2)</f>
        <v>42.06</v>
      </c>
      <c r="L469" s="317">
        <f t="shared" ref="L469" si="163">ROUND(F469*K469,2)</f>
        <v>4206</v>
      </c>
      <c r="M469" s="318">
        <f t="shared" si="150"/>
        <v>1.5231829145782034E-4</v>
      </c>
    </row>
    <row r="470" spans="2:13" s="109" customFormat="1" ht="18" x14ac:dyDescent="0.2">
      <c r="B470" s="314" t="s">
        <v>820</v>
      </c>
      <c r="C470" s="315" t="str">
        <f>VLOOKUP(D470,Fontes!$A$6:$H$11629,8,FALSE)</f>
        <v>SIURB</v>
      </c>
      <c r="D470" s="385" t="str">
        <f>Fontes!A255</f>
        <v>09.090.031</v>
      </c>
      <c r="E470" s="204" t="str">
        <f>VLOOKUP(D470,Fontes!$A$6:$H$11629,2,FALSE)</f>
        <v>Patch cord RJ45 1,50 m</v>
      </c>
      <c r="F470" s="117">
        <v>245</v>
      </c>
      <c r="G470" s="203" t="str">
        <f>VLOOKUP(D470,Fontes!$A$6:$L$11629,3,FALSE)</f>
        <v>un</v>
      </c>
      <c r="H470" s="203">
        <v>12.99</v>
      </c>
      <c r="I470" s="203">
        <v>0</v>
      </c>
      <c r="J470" s="203">
        <v>0</v>
      </c>
      <c r="K470" s="316">
        <f t="shared" ref="K470:K471" si="164">ROUND(+H470+I470+J470,2)</f>
        <v>12.99</v>
      </c>
      <c r="L470" s="317">
        <f t="shared" ref="L470:L471" si="165">ROUND(F470*K470,2)</f>
        <v>3182.55</v>
      </c>
      <c r="M470" s="318">
        <f t="shared" si="150"/>
        <v>1.1525453601499909E-4</v>
      </c>
    </row>
    <row r="471" spans="2:13" s="109" customFormat="1" ht="18" x14ac:dyDescent="0.2">
      <c r="B471" s="314" t="s">
        <v>821</v>
      </c>
      <c r="C471" s="315" t="str">
        <f>VLOOKUP(D471,Fontes!$A$6:$H$11629,8,FALSE)</f>
        <v>SIURB</v>
      </c>
      <c r="D471" s="385" t="str">
        <f>Fontes!A256</f>
        <v>09.090.033</v>
      </c>
      <c r="E471" s="204" t="str">
        <f>VLOOKUP(D471,Fontes!$A$6:$H$11629,2,FALSE)</f>
        <v>Patch cord RJ45 2,50 m</v>
      </c>
      <c r="F471" s="117">
        <v>245</v>
      </c>
      <c r="G471" s="203" t="str">
        <f>VLOOKUP(D471,Fontes!$A$6:$L$11629,3,FALSE)</f>
        <v>un</v>
      </c>
      <c r="H471" s="203">
        <v>18.78</v>
      </c>
      <c r="I471" s="203">
        <v>0</v>
      </c>
      <c r="J471" s="203">
        <v>0</v>
      </c>
      <c r="K471" s="316">
        <f t="shared" si="164"/>
        <v>18.78</v>
      </c>
      <c r="L471" s="317">
        <f t="shared" si="165"/>
        <v>4601.1000000000004</v>
      </c>
      <c r="M471" s="318">
        <f t="shared" si="150"/>
        <v>1.666266502202989E-4</v>
      </c>
    </row>
    <row r="472" spans="2:13" s="313" customFormat="1" ht="18" x14ac:dyDescent="0.2">
      <c r="B472" s="314" t="s">
        <v>822</v>
      </c>
      <c r="C472" s="315" t="str">
        <f>VLOOKUP(D472,Fontes!$A$6:$H$11629,8,FALSE)</f>
        <v>SBC / RJ</v>
      </c>
      <c r="D472" s="315">
        <v>59566</v>
      </c>
      <c r="E472" s="204" t="str">
        <f>VLOOKUP(D472,Fontes!$A$6:$H$11629,2,FALSE)</f>
        <v>Cordão óptico duplex conectores diversos 2,50 m</v>
      </c>
      <c r="F472" s="203">
        <v>4</v>
      </c>
      <c r="G472" s="203" t="str">
        <f>VLOOKUP(D472,Fontes!$A$6:$L$11629,3,FALSE)</f>
        <v>un</v>
      </c>
      <c r="H472" s="203">
        <v>37.479999999999997</v>
      </c>
      <c r="I472" s="203">
        <v>15.64</v>
      </c>
      <c r="J472" s="203">
        <v>0</v>
      </c>
      <c r="K472" s="316">
        <f t="shared" si="160"/>
        <v>53.12</v>
      </c>
      <c r="L472" s="317">
        <f t="shared" si="161"/>
        <v>212.48</v>
      </c>
      <c r="M472" s="318">
        <f t="shared" si="150"/>
        <v>7.6948622370322541E-6</v>
      </c>
    </row>
    <row r="473" spans="2:13" s="313" customFormat="1" ht="18" x14ac:dyDescent="0.2">
      <c r="B473" s="314" t="s">
        <v>823</v>
      </c>
      <c r="C473" s="315" t="str">
        <f>VLOOKUP(D473,Fontes!$A$6:$H$11629,8,FALSE)</f>
        <v>SBC / RJ</v>
      </c>
      <c r="D473" s="315">
        <v>58561</v>
      </c>
      <c r="E473" s="204" t="str">
        <f>VLOOKUP(D473,Fontes!$A$6:$H$11629,2,FALSE)</f>
        <v>Cabo de cobre blindado para alarme de incendio 2 x 1,5 mm</v>
      </c>
      <c r="F473" s="203">
        <v>500</v>
      </c>
      <c r="G473" s="203" t="str">
        <f>VLOOKUP(D473,Fontes!$A$6:$L$11629,3,FALSE)</f>
        <v>m</v>
      </c>
      <c r="H473" s="203">
        <v>8.9700000000000006</v>
      </c>
      <c r="I473" s="203">
        <v>6.25</v>
      </c>
      <c r="J473" s="203">
        <v>0</v>
      </c>
      <c r="K473" s="316">
        <f t="shared" si="160"/>
        <v>15.22</v>
      </c>
      <c r="L473" s="317">
        <f t="shared" si="161"/>
        <v>7610</v>
      </c>
      <c r="M473" s="318">
        <f t="shared" si="150"/>
        <v>2.7559253399762548E-4</v>
      </c>
    </row>
    <row r="474" spans="2:13" s="109" customFormat="1" ht="18" x14ac:dyDescent="0.2">
      <c r="B474" s="114"/>
      <c r="C474" s="115"/>
      <c r="D474" s="115"/>
      <c r="E474" s="116"/>
      <c r="F474" s="117"/>
      <c r="G474" s="117"/>
      <c r="H474" s="117"/>
      <c r="I474" s="117"/>
      <c r="J474" s="117"/>
      <c r="K474" s="118"/>
      <c r="L474" s="119"/>
      <c r="M474" s="120">
        <f t="shared" si="150"/>
        <v>0</v>
      </c>
    </row>
    <row r="475" spans="2:13" s="109" customFormat="1" ht="18" x14ac:dyDescent="0.2">
      <c r="B475" s="114"/>
      <c r="C475" s="115"/>
      <c r="D475" s="115"/>
      <c r="E475" s="116"/>
      <c r="F475" s="117"/>
      <c r="G475" s="117"/>
      <c r="H475" s="117"/>
      <c r="I475" s="117"/>
      <c r="J475" s="117"/>
      <c r="K475" s="118"/>
      <c r="L475" s="119"/>
      <c r="M475" s="120">
        <f t="shared" si="150"/>
        <v>0</v>
      </c>
    </row>
    <row r="476" spans="2:13" s="109" customFormat="1" ht="25.5" customHeight="1" x14ac:dyDescent="0.2">
      <c r="B476" s="206">
        <v>12</v>
      </c>
      <c r="C476" s="207"/>
      <c r="D476" s="207"/>
      <c r="E476" s="309" t="s">
        <v>448</v>
      </c>
      <c r="F476" s="209"/>
      <c r="G476" s="205"/>
      <c r="H476" s="210"/>
      <c r="I476" s="210"/>
      <c r="J476" s="209"/>
      <c r="K476" s="209"/>
      <c r="L476" s="211">
        <f>SUBTOTAL(9,L477:L546)</f>
        <v>1171288.8299999998</v>
      </c>
      <c r="M476" s="212">
        <f t="shared" si="150"/>
        <v>4.2417668423497229E-2</v>
      </c>
    </row>
    <row r="477" spans="2:13" s="109" customFormat="1" ht="25.5" customHeight="1" x14ac:dyDescent="0.2">
      <c r="B477" s="217" t="s">
        <v>824</v>
      </c>
      <c r="C477" s="218"/>
      <c r="D477" s="218"/>
      <c r="E477" s="311" t="s">
        <v>449</v>
      </c>
      <c r="F477" s="219"/>
      <c r="G477" s="220"/>
      <c r="H477" s="221"/>
      <c r="I477" s="221"/>
      <c r="J477" s="219"/>
      <c r="K477" s="219"/>
      <c r="L477" s="222">
        <f>SUBTOTAL(9,L478:L491)</f>
        <v>161392.46000000002</v>
      </c>
      <c r="M477" s="223">
        <f t="shared" si="150"/>
        <v>5.8447512509212114E-3</v>
      </c>
    </row>
    <row r="478" spans="2:13" s="313" customFormat="1" ht="18" x14ac:dyDescent="0.2">
      <c r="B478" s="314" t="s">
        <v>825</v>
      </c>
      <c r="C478" s="315" t="str">
        <f>VLOOKUP(D478,Fontes!$A$6:$H$11629,8,FALSE)</f>
        <v>SBC / RJ</v>
      </c>
      <c r="D478" s="315">
        <v>52378</v>
      </c>
      <c r="E478" s="204" t="str">
        <f>VLOOKUP(D478,Fontes!$A$6:$H$11629,2,FALSE)</f>
        <v>Tubo de pvc soldável 25 mm com conexões</v>
      </c>
      <c r="F478" s="203">
        <v>312</v>
      </c>
      <c r="G478" s="203" t="str">
        <f>VLOOKUP(D478,Fontes!$A$6:$L$11629,3,FALSE)</f>
        <v>m</v>
      </c>
      <c r="H478" s="203">
        <v>6.9000000000000021</v>
      </c>
      <c r="I478" s="203">
        <v>11.2</v>
      </c>
      <c r="J478" s="203">
        <v>0</v>
      </c>
      <c r="K478" s="316">
        <f t="shared" ref="K478:K491" si="166">ROUND(+H478+I478+J478,2)</f>
        <v>18.100000000000001</v>
      </c>
      <c r="L478" s="317">
        <f t="shared" ref="L478:L491" si="167">ROUND(F478*K478,2)</f>
        <v>5647.2</v>
      </c>
      <c r="M478" s="318">
        <f t="shared" si="150"/>
        <v>2.0451066465064263E-4</v>
      </c>
    </row>
    <row r="479" spans="2:13" s="313" customFormat="1" ht="18" x14ac:dyDescent="0.2">
      <c r="B479" s="314" t="s">
        <v>826</v>
      </c>
      <c r="C479" s="315" t="str">
        <f>VLOOKUP(D479,Fontes!$A$6:$H$11629,8,FALSE)</f>
        <v>SBC / RJ</v>
      </c>
      <c r="D479" s="315">
        <v>52069</v>
      </c>
      <c r="E479" s="204" t="str">
        <f>VLOOKUP(D479,Fontes!$A$6:$H$11629,2,FALSE)</f>
        <v>Tubo de pvc soldável 32 mm com conexões</v>
      </c>
      <c r="F479" s="203">
        <v>264</v>
      </c>
      <c r="G479" s="203" t="str">
        <f>VLOOKUP(D479,Fontes!$A$6:$L$11629,3,FALSE)</f>
        <v>m</v>
      </c>
      <c r="H479" s="203">
        <v>10.87</v>
      </c>
      <c r="I479" s="203">
        <v>6.7799999999999994</v>
      </c>
      <c r="J479" s="203">
        <v>0</v>
      </c>
      <c r="K479" s="316">
        <f t="shared" si="166"/>
        <v>17.649999999999999</v>
      </c>
      <c r="L479" s="317">
        <f t="shared" si="167"/>
        <v>4659.6000000000004</v>
      </c>
      <c r="M479" s="318">
        <f t="shared" ref="M479:M510" si="168">+L479/$L$851</f>
        <v>1.6874519992317159E-4</v>
      </c>
    </row>
    <row r="480" spans="2:13" s="313" customFormat="1" ht="18" x14ac:dyDescent="0.2">
      <c r="B480" s="314" t="s">
        <v>827</v>
      </c>
      <c r="C480" s="315" t="str">
        <f>VLOOKUP(D480,Fontes!$A$6:$H$11629,8,FALSE)</f>
        <v>SBC / RJ</v>
      </c>
      <c r="D480" s="315">
        <v>52240</v>
      </c>
      <c r="E480" s="204" t="str">
        <f>VLOOKUP(D480,Fontes!$A$6:$H$11629,2,FALSE)</f>
        <v>Tubo de pvc soldável 40 mm com conexões</v>
      </c>
      <c r="F480" s="203">
        <v>93</v>
      </c>
      <c r="G480" s="203" t="str">
        <f>VLOOKUP(D480,Fontes!$A$6:$L$11629,3,FALSE)</f>
        <v>m</v>
      </c>
      <c r="H480" s="203">
        <v>25.799999999999997</v>
      </c>
      <c r="I480" s="203">
        <v>14.68</v>
      </c>
      <c r="J480" s="203">
        <v>0</v>
      </c>
      <c r="K480" s="316">
        <f t="shared" si="166"/>
        <v>40.479999999999997</v>
      </c>
      <c r="L480" s="317">
        <f t="shared" si="167"/>
        <v>3764.64</v>
      </c>
      <c r="M480" s="318">
        <f t="shared" si="168"/>
        <v>1.3633464877645476E-4</v>
      </c>
    </row>
    <row r="481" spans="1:14" s="313" customFormat="1" ht="18" x14ac:dyDescent="0.2">
      <c r="B481" s="314" t="s">
        <v>828</v>
      </c>
      <c r="C481" s="315" t="str">
        <f>VLOOKUP(D481,Fontes!$A$6:$H$11629,8,FALSE)</f>
        <v>SBC / RJ</v>
      </c>
      <c r="D481" s="315">
        <v>52879</v>
      </c>
      <c r="E481" s="204" t="str">
        <f>VLOOKUP(D481,Fontes!$A$6:$H$11629,2,FALSE)</f>
        <v>Tubo de pvc soldável 50 mm com conexões</v>
      </c>
      <c r="F481" s="203">
        <v>129</v>
      </c>
      <c r="G481" s="203" t="str">
        <f>VLOOKUP(D481,Fontes!$A$6:$L$11629,3,FALSE)</f>
        <v>m</v>
      </c>
      <c r="H481" s="203">
        <v>28.740000000000002</v>
      </c>
      <c r="I481" s="203">
        <v>16.32</v>
      </c>
      <c r="J481" s="203">
        <v>0</v>
      </c>
      <c r="K481" s="316">
        <f t="shared" si="166"/>
        <v>45.06</v>
      </c>
      <c r="L481" s="317">
        <f t="shared" si="167"/>
        <v>5812.74</v>
      </c>
      <c r="M481" s="318">
        <f t="shared" si="168"/>
        <v>2.1050561709189979E-4</v>
      </c>
    </row>
    <row r="482" spans="1:14" s="313" customFormat="1" ht="18" x14ac:dyDescent="0.2">
      <c r="B482" s="314" t="s">
        <v>829</v>
      </c>
      <c r="C482" s="315" t="str">
        <f>VLOOKUP(D482,Fontes!$A$6:$H$11629,8,FALSE)</f>
        <v>SBC / RJ</v>
      </c>
      <c r="D482" s="315">
        <v>52878</v>
      </c>
      <c r="E482" s="204" t="str">
        <f>VLOOKUP(D482,Fontes!$A$6:$H$11629,2,FALSE)</f>
        <v>Tubo de pvc soldável 60 mm com conexões</v>
      </c>
      <c r="F482" s="203">
        <v>54</v>
      </c>
      <c r="G482" s="203" t="str">
        <f>VLOOKUP(D482,Fontes!$A$6:$L$11629,3,FALSE)</f>
        <v>m</v>
      </c>
      <c r="H482" s="203">
        <v>51.190000000000005</v>
      </c>
      <c r="I482" s="203">
        <v>17.68</v>
      </c>
      <c r="J482" s="203">
        <v>0</v>
      </c>
      <c r="K482" s="316">
        <f t="shared" si="166"/>
        <v>68.87</v>
      </c>
      <c r="L482" s="317">
        <f t="shared" si="167"/>
        <v>3718.98</v>
      </c>
      <c r="M482" s="318">
        <f t="shared" si="168"/>
        <v>1.3468109357246902E-4</v>
      </c>
    </row>
    <row r="483" spans="1:14" s="313" customFormat="1" ht="36" x14ac:dyDescent="0.2">
      <c r="B483" s="314" t="s">
        <v>830</v>
      </c>
      <c r="C483" s="315" t="str">
        <f>VLOOKUP(D483,Fontes!$A$6:$H$11629,8,FALSE)</f>
        <v>SINAPI / RJ</v>
      </c>
      <c r="D483" s="315">
        <v>89987</v>
      </c>
      <c r="E483" s="204" t="str">
        <f>VLOOKUP(D483,Fontes!$A$6:$H$11629,2,FALSE)</f>
        <v>Registro de gaveta bruto, latão, roscável, 3/4", com acabamento e canopla cromados</v>
      </c>
      <c r="F483" s="203">
        <v>10</v>
      </c>
      <c r="G483" s="203" t="str">
        <f>VLOOKUP(D483,Fontes!$A$6:$L$11629,3,FALSE)</f>
        <v>un</v>
      </c>
      <c r="H483" s="203">
        <v>70.328401968826896</v>
      </c>
      <c r="I483" s="203">
        <v>11.741598031173092</v>
      </c>
      <c r="J483" s="203">
        <v>0</v>
      </c>
      <c r="K483" s="316">
        <f t="shared" si="166"/>
        <v>82.07</v>
      </c>
      <c r="L483" s="317">
        <f t="shared" si="167"/>
        <v>820.7</v>
      </c>
      <c r="M483" s="318">
        <f t="shared" si="168"/>
        <v>2.9721260532437745E-5</v>
      </c>
    </row>
    <row r="484" spans="1:14" s="313" customFormat="1" ht="36" x14ac:dyDescent="0.2">
      <c r="B484" s="314" t="s">
        <v>831</v>
      </c>
      <c r="C484" s="315" t="str">
        <f>VLOOKUP(D484,Fontes!$A$6:$H$11629,8,FALSE)</f>
        <v>SINAPI / RJ</v>
      </c>
      <c r="D484" s="315">
        <v>94792</v>
      </c>
      <c r="E484" s="204" t="str">
        <f>VLOOKUP(D484,Fontes!$A$6:$H$11629,2,FALSE)</f>
        <v>Registro de gaveta bruto, latão, roscável, 1", com acabamento e canopla cromados</v>
      </c>
      <c r="F484" s="203">
        <v>21</v>
      </c>
      <c r="G484" s="203" t="str">
        <f>VLOOKUP(D484,Fontes!$A$6:$L$11629,3,FALSE)</f>
        <v>un</v>
      </c>
      <c r="H484" s="203">
        <v>85.87293704404216</v>
      </c>
      <c r="I484" s="203">
        <v>13.78706295595785</v>
      </c>
      <c r="J484" s="203">
        <v>0</v>
      </c>
      <c r="K484" s="316">
        <f t="shared" si="166"/>
        <v>99.66</v>
      </c>
      <c r="L484" s="317">
        <f t="shared" si="167"/>
        <v>2092.86</v>
      </c>
      <c r="M484" s="318">
        <f t="shared" si="168"/>
        <v>7.5791930447078915E-5</v>
      </c>
    </row>
    <row r="485" spans="1:14" s="313" customFormat="1" ht="18" x14ac:dyDescent="0.2">
      <c r="B485" s="314" t="s">
        <v>832</v>
      </c>
      <c r="C485" s="315" t="str">
        <f>VLOOKUP(D485,Fontes!$A$6:$H$11629,8,FALSE)</f>
        <v>SINAPI / RJ</v>
      </c>
      <c r="D485" s="315">
        <v>94498</v>
      </c>
      <c r="E485" s="204" t="str">
        <f>VLOOKUP(D485,Fontes!$A$6:$H$11629,2,FALSE)</f>
        <v>Registro de gaveta bruto, latão, roscável, 2"</v>
      </c>
      <c r="F485" s="203">
        <v>7</v>
      </c>
      <c r="G485" s="203" t="str">
        <f>VLOOKUP(D485,Fontes!$A$6:$L$11629,3,FALSE)</f>
        <v>un</v>
      </c>
      <c r="H485" s="203">
        <v>109.11250635324016</v>
      </c>
      <c r="I485" s="203">
        <v>18.057493646759848</v>
      </c>
      <c r="J485" s="203">
        <v>0</v>
      </c>
      <c r="K485" s="316">
        <f t="shared" si="166"/>
        <v>127.17</v>
      </c>
      <c r="L485" s="317">
        <f t="shared" si="167"/>
        <v>890.19</v>
      </c>
      <c r="M485" s="318">
        <f t="shared" si="168"/>
        <v>3.2237807863251803E-5</v>
      </c>
    </row>
    <row r="486" spans="1:14" s="313" customFormat="1" ht="18" x14ac:dyDescent="0.2">
      <c r="B486" s="314" t="s">
        <v>833</v>
      </c>
      <c r="C486" s="315" t="str">
        <f>VLOOKUP(D486,Fontes!$A$6:$H$11629,8,FALSE)</f>
        <v>SINAPI / RJ</v>
      </c>
      <c r="D486" s="315">
        <v>86914</v>
      </c>
      <c r="E486" s="204" t="str">
        <f>VLOOKUP(D486,Fontes!$A$6:$H$11629,2,FALSE)</f>
        <v>Torneira cromada 1/2 ou 3/4 para tanque</v>
      </c>
      <c r="F486" s="203">
        <v>20</v>
      </c>
      <c r="G486" s="203" t="str">
        <f>VLOOKUP(D486,Fontes!$A$6:$L$11629,3,FALSE)</f>
        <v>un</v>
      </c>
      <c r="H486" s="203">
        <v>110.15143390357699</v>
      </c>
      <c r="I486" s="203">
        <v>7.6585660964230176</v>
      </c>
      <c r="J486" s="203">
        <v>0</v>
      </c>
      <c r="K486" s="316">
        <f t="shared" si="166"/>
        <v>117.81</v>
      </c>
      <c r="L486" s="317">
        <f t="shared" si="167"/>
        <v>2356.1999999999998</v>
      </c>
      <c r="M486" s="318">
        <f t="shared" si="168"/>
        <v>8.5328663417241139E-5</v>
      </c>
    </row>
    <row r="487" spans="1:14" s="109" customFormat="1" ht="18" x14ac:dyDescent="0.2">
      <c r="B487" s="114" t="s">
        <v>834</v>
      </c>
      <c r="C487" s="315" t="str">
        <f>VLOOKUP(D487,Fontes!$A$6:$H$11629,8,FALSE)</f>
        <v>CDHU</v>
      </c>
      <c r="D487" s="315" t="s">
        <v>2303</v>
      </c>
      <c r="E487" s="204" t="str">
        <f>VLOOKUP(D487,Fontes!$A$6:$H$11629,2,FALSE)</f>
        <v>Filtro de pressão em ABS para 360 l/h</v>
      </c>
      <c r="F487" s="117">
        <v>1</v>
      </c>
      <c r="G487" s="203" t="str">
        <f>VLOOKUP(D487,Fontes!$A$6:$L$11629,3,FALSE)</f>
        <v>un</v>
      </c>
      <c r="H487" s="203">
        <v>430.24</v>
      </c>
      <c r="I487" s="203">
        <v>39.270000000000003</v>
      </c>
      <c r="J487" s="203">
        <v>0</v>
      </c>
      <c r="K487" s="316">
        <f t="shared" ref="K487" si="169">ROUND(+H487+I487+J487,2)</f>
        <v>469.51</v>
      </c>
      <c r="L487" s="317">
        <f t="shared" ref="L487" si="170">ROUND(F487*K487,2)</f>
        <v>469.51</v>
      </c>
      <c r="M487" s="318">
        <f t="shared" si="168"/>
        <v>1.7003081555482934E-5</v>
      </c>
      <c r="N487" s="313"/>
    </row>
    <row r="488" spans="1:14" s="313" customFormat="1" ht="18" x14ac:dyDescent="0.2">
      <c r="B488" s="314" t="s">
        <v>835</v>
      </c>
      <c r="C488" s="315" t="str">
        <f>VLOOKUP(D488,Fontes!$A$6:$H$11629,8,FALSE)</f>
        <v>FACC</v>
      </c>
      <c r="D488" s="315" t="s">
        <v>1300</v>
      </c>
      <c r="E488" s="204" t="str">
        <f>VLOOKUP(D488,Fontes!$A$6:$H$11629,2,FALSE)</f>
        <v>Reservatório de água em polietileno capacidade 10.000 litros</v>
      </c>
      <c r="F488" s="203">
        <v>2</v>
      </c>
      <c r="G488" s="203" t="str">
        <f>VLOOKUP(D488,Fontes!$A$6:$L$11629,3,FALSE)</f>
        <v>un</v>
      </c>
      <c r="H488" s="203">
        <v>8053.09</v>
      </c>
      <c r="I488" s="203">
        <v>317.01</v>
      </c>
      <c r="J488" s="203">
        <v>0</v>
      </c>
      <c r="K488" s="316">
        <f t="shared" si="166"/>
        <v>8370.1</v>
      </c>
      <c r="L488" s="317">
        <f t="shared" si="167"/>
        <v>16740.2</v>
      </c>
      <c r="M488" s="318">
        <f t="shared" si="168"/>
        <v>6.0623838865007235E-4</v>
      </c>
    </row>
    <row r="489" spans="1:14" s="109" customFormat="1" ht="54" x14ac:dyDescent="0.2">
      <c r="B489" s="114" t="s">
        <v>836</v>
      </c>
      <c r="C489" s="115"/>
      <c r="D489" s="315" t="s">
        <v>2131</v>
      </c>
      <c r="E489" s="204" t="s">
        <v>451</v>
      </c>
      <c r="F489" s="117">
        <v>1</v>
      </c>
      <c r="G489" s="117"/>
      <c r="H489" s="203">
        <v>107386.71515550002</v>
      </c>
      <c r="I489" s="203">
        <v>6410.5</v>
      </c>
      <c r="J489" s="203">
        <v>0</v>
      </c>
      <c r="K489" s="316">
        <f t="shared" ref="K489" si="171">ROUND(+H489+I489+J489,2)</f>
        <v>113797.22</v>
      </c>
      <c r="L489" s="317">
        <f t="shared" ref="L489" si="172">ROUND(F489*K489,2)</f>
        <v>113797.22</v>
      </c>
      <c r="M489" s="318">
        <f t="shared" si="168"/>
        <v>4.1211122498929394E-3</v>
      </c>
    </row>
    <row r="490" spans="1:14" s="313" customFormat="1" ht="18" x14ac:dyDescent="0.2">
      <c r="B490" s="314" t="s">
        <v>837</v>
      </c>
      <c r="C490" s="315" t="str">
        <f>VLOOKUP(D490,Fontes!$A$6:$H$11629,8,FALSE)</f>
        <v>SINAPI / RJ</v>
      </c>
      <c r="D490" s="315">
        <v>95675</v>
      </c>
      <c r="E490" s="204" t="str">
        <f>VLOOKUP(D490,Fontes!$A$6:$H$11629,2,FALSE)</f>
        <v>Hidrômetro DN 25 (¾ ), 5,0 m³/h fornecimento e instalação</v>
      </c>
      <c r="F490" s="203">
        <v>1</v>
      </c>
      <c r="G490" s="203" t="str">
        <f>VLOOKUP(D490,Fontes!$A$6:$L$11629,3,FALSE)</f>
        <v>un</v>
      </c>
      <c r="H490" s="203">
        <v>349.62116859856036</v>
      </c>
      <c r="I490" s="203">
        <v>26.378831401439633</v>
      </c>
      <c r="J490" s="203">
        <v>0</v>
      </c>
      <c r="K490" s="316">
        <f t="shared" si="166"/>
        <v>376</v>
      </c>
      <c r="L490" s="317">
        <f t="shared" si="167"/>
        <v>376</v>
      </c>
      <c r="M490" s="318">
        <f t="shared" si="168"/>
        <v>1.3616661338121837E-5</v>
      </c>
    </row>
    <row r="491" spans="1:14" s="313" customFormat="1" ht="36" x14ac:dyDescent="0.2">
      <c r="B491" s="314" t="s">
        <v>838</v>
      </c>
      <c r="C491" s="315" t="str">
        <f>VLOOKUP(D491,Fontes!$A$6:$H$11629,8,FALSE)</f>
        <v>SINAPI / RJ</v>
      </c>
      <c r="D491" s="315">
        <v>94797</v>
      </c>
      <c r="E491" s="204" t="str">
        <f>VLOOKUP(D491,Fontes!$A$6:$H$11629,2,FALSE)</f>
        <v>Torneira de boia para caixa d'água, roscável, 1" - fornecimento e instalação</v>
      </c>
      <c r="F491" s="203">
        <v>2</v>
      </c>
      <c r="G491" s="203" t="str">
        <f>VLOOKUP(D491,Fontes!$A$6:$L$11629,3,FALSE)</f>
        <v>un</v>
      </c>
      <c r="H491" s="203">
        <v>115.82630129685555</v>
      </c>
      <c r="I491" s="203">
        <v>7.3836987031444288</v>
      </c>
      <c r="J491" s="203">
        <v>0</v>
      </c>
      <c r="K491" s="316">
        <f t="shared" si="166"/>
        <v>123.21</v>
      </c>
      <c r="L491" s="317">
        <f t="shared" si="167"/>
        <v>246.42</v>
      </c>
      <c r="M491" s="318">
        <f t="shared" si="168"/>
        <v>8.9239832099467634E-6</v>
      </c>
    </row>
    <row r="492" spans="1:14" s="109" customFormat="1" ht="18" x14ac:dyDescent="0.2">
      <c r="B492" s="114"/>
      <c r="C492" s="115"/>
      <c r="D492" s="115"/>
      <c r="E492" s="116"/>
      <c r="F492" s="117"/>
      <c r="G492" s="117"/>
      <c r="H492" s="117"/>
      <c r="I492" s="117"/>
      <c r="J492" s="117"/>
      <c r="K492" s="118"/>
      <c r="L492" s="119"/>
      <c r="M492" s="120">
        <f t="shared" si="168"/>
        <v>0</v>
      </c>
    </row>
    <row r="493" spans="1:14" s="236" customFormat="1" ht="25.5" customHeight="1" x14ac:dyDescent="0.2">
      <c r="A493" s="117"/>
      <c r="B493" s="217" t="s">
        <v>839</v>
      </c>
      <c r="C493" s="218"/>
      <c r="D493" s="218"/>
      <c r="E493" s="311" t="s">
        <v>453</v>
      </c>
      <c r="F493" s="219"/>
      <c r="G493" s="220"/>
      <c r="H493" s="221"/>
      <c r="I493" s="221"/>
      <c r="J493" s="219"/>
      <c r="K493" s="219"/>
      <c r="L493" s="222">
        <f>SUBTOTAL(9,L494:L501)</f>
        <v>24418.989999999998</v>
      </c>
      <c r="M493" s="223">
        <f t="shared" si="168"/>
        <v>8.8432211981112694E-4</v>
      </c>
      <c r="N493" s="237"/>
    </row>
    <row r="494" spans="1:14" s="313" customFormat="1" ht="18" x14ac:dyDescent="0.2">
      <c r="B494" s="314" t="s">
        <v>840</v>
      </c>
      <c r="C494" s="315" t="str">
        <f>VLOOKUP(D494,Fontes!$A$6:$H$11629,8,FALSE)</f>
        <v>SINAPI / RJ</v>
      </c>
      <c r="D494" s="315">
        <v>89711</v>
      </c>
      <c r="E494" s="204" t="str">
        <f>VLOOKUP(D494,Fontes!$A$6:$H$11629,2,FALSE)</f>
        <v>Tubo pvc, serie normal, esgoto predial, DN 40 mm</v>
      </c>
      <c r="F494" s="203">
        <v>54</v>
      </c>
      <c r="G494" s="203" t="str">
        <f>VLOOKUP(D494,Fontes!$A$6:$L$11629,3,FALSE)</f>
        <v>m</v>
      </c>
      <c r="H494" s="203">
        <v>13.446835330670218</v>
      </c>
      <c r="I494" s="203">
        <v>14.973164669329782</v>
      </c>
      <c r="J494" s="203">
        <v>0</v>
      </c>
      <c r="K494" s="316">
        <f t="shared" ref="K494:K501" si="173">ROUND(+H494+I494+J494,2)</f>
        <v>28.42</v>
      </c>
      <c r="L494" s="317">
        <f t="shared" ref="L494:L501" si="174">ROUND(F494*K494,2)</f>
        <v>1534.68</v>
      </c>
      <c r="M494" s="318">
        <f t="shared" si="168"/>
        <v>5.5577706974438356E-5</v>
      </c>
    </row>
    <row r="495" spans="1:14" s="313" customFormat="1" ht="18" x14ac:dyDescent="0.2">
      <c r="B495" s="314" t="s">
        <v>841</v>
      </c>
      <c r="C495" s="315" t="str">
        <f>VLOOKUP(D495,Fontes!$A$6:$H$11629,8,FALSE)</f>
        <v>SINAPI / RJ</v>
      </c>
      <c r="D495" s="315">
        <v>89712</v>
      </c>
      <c r="E495" s="204" t="str">
        <f>VLOOKUP(D495,Fontes!$A$6:$H$11629,2,FALSE)</f>
        <v>Tubo pvc, serie normal, esgoto predial, DN 50 mm</v>
      </c>
      <c r="F495" s="203">
        <v>129</v>
      </c>
      <c r="G495" s="203" t="str">
        <f>VLOOKUP(D495,Fontes!$A$6:$L$11629,3,FALSE)</f>
        <v>m</v>
      </c>
      <c r="H495" s="203">
        <v>19.264392579293833</v>
      </c>
      <c r="I495" s="203">
        <v>15.725607420706163</v>
      </c>
      <c r="J495" s="203">
        <v>0</v>
      </c>
      <c r="K495" s="316">
        <f t="shared" si="173"/>
        <v>34.99</v>
      </c>
      <c r="L495" s="317">
        <f t="shared" si="174"/>
        <v>4513.71</v>
      </c>
      <c r="M495" s="318">
        <f t="shared" si="168"/>
        <v>1.6346186289493064E-4</v>
      </c>
    </row>
    <row r="496" spans="1:14" s="313" customFormat="1" ht="18" x14ac:dyDescent="0.2">
      <c r="B496" s="314" t="s">
        <v>842</v>
      </c>
      <c r="C496" s="315" t="str">
        <f>VLOOKUP(D496,Fontes!$A$6:$H$11629,8,FALSE)</f>
        <v>SINAPI / RJ</v>
      </c>
      <c r="D496" s="315">
        <v>89713</v>
      </c>
      <c r="E496" s="204" t="str">
        <f>VLOOKUP(D496,Fontes!$A$6:$H$11629,2,FALSE)</f>
        <v>Tubo pvc, serie normal, esgoto predial, DN 75 mm</v>
      </c>
      <c r="F496" s="203">
        <v>126</v>
      </c>
      <c r="G496" s="203" t="str">
        <f>VLOOKUP(D496,Fontes!$A$6:$L$11629,3,FALSE)</f>
        <v>m</v>
      </c>
      <c r="H496" s="203">
        <v>24.441079165025599</v>
      </c>
      <c r="I496" s="203">
        <v>18.878920834974398</v>
      </c>
      <c r="J496" s="203">
        <v>0</v>
      </c>
      <c r="K496" s="316">
        <f t="shared" si="173"/>
        <v>43.32</v>
      </c>
      <c r="L496" s="317">
        <f t="shared" si="174"/>
        <v>5458.32</v>
      </c>
      <c r="M496" s="318">
        <f t="shared" si="168"/>
        <v>1.9767046519972656E-4</v>
      </c>
    </row>
    <row r="497" spans="1:14" s="313" customFormat="1" ht="18" x14ac:dyDescent="0.2">
      <c r="B497" s="314" t="s">
        <v>843</v>
      </c>
      <c r="C497" s="315" t="str">
        <f>VLOOKUP(D497,Fontes!$A$6:$H$11629,8,FALSE)</f>
        <v>SINAPI / RJ</v>
      </c>
      <c r="D497" s="315">
        <v>89714</v>
      </c>
      <c r="E497" s="204" t="str">
        <f>VLOOKUP(D497,Fontes!$A$6:$H$11629,2,FALSE)</f>
        <v>Tubo pvc, serie normal, esgoto predial, DN 100 mm</v>
      </c>
      <c r="F497" s="203">
        <v>112</v>
      </c>
      <c r="G497" s="203" t="str">
        <f>VLOOKUP(D497,Fontes!$A$6:$L$11629,3,FALSE)</f>
        <v>m</v>
      </c>
      <c r="H497" s="203">
        <v>26.852464658881377</v>
      </c>
      <c r="I497" s="203">
        <v>21.907535341118624</v>
      </c>
      <c r="J497" s="203">
        <v>0</v>
      </c>
      <c r="K497" s="316">
        <f t="shared" si="173"/>
        <v>48.76</v>
      </c>
      <c r="L497" s="317">
        <f t="shared" si="174"/>
        <v>5461.12</v>
      </c>
      <c r="M497" s="318">
        <f t="shared" si="168"/>
        <v>1.9777186586926576E-4</v>
      </c>
    </row>
    <row r="498" spans="1:14" s="313" customFormat="1" ht="18" x14ac:dyDescent="0.2">
      <c r="B498" s="314" t="s">
        <v>844</v>
      </c>
      <c r="C498" s="315" t="str">
        <f>VLOOKUP(D498,Fontes!$A$6:$H$11629,8,FALSE)</f>
        <v>SINAPI / RJ</v>
      </c>
      <c r="D498" s="315">
        <v>89580</v>
      </c>
      <c r="E498" s="204" t="str">
        <f>VLOOKUP(D498,Fontes!$A$6:$H$11629,2,FALSE)</f>
        <v>Tubo pvc, série R, água pluvial, DN 150 mm</v>
      </c>
      <c r="F498" s="203">
        <v>19</v>
      </c>
      <c r="G498" s="203" t="str">
        <f>VLOOKUP(D498,Fontes!$A$6:$L$11629,3,FALSE)</f>
        <v>m</v>
      </c>
      <c r="H498" s="203">
        <v>69.556386305569745</v>
      </c>
      <c r="I498" s="203">
        <v>5.4336136944302496</v>
      </c>
      <c r="J498" s="203">
        <v>0</v>
      </c>
      <c r="K498" s="316">
        <f t="shared" si="173"/>
        <v>74.989999999999995</v>
      </c>
      <c r="L498" s="317">
        <f t="shared" si="174"/>
        <v>1424.81</v>
      </c>
      <c r="M498" s="318">
        <f t="shared" si="168"/>
        <v>5.1598817130769613E-5</v>
      </c>
    </row>
    <row r="499" spans="1:14" s="313" customFormat="1" ht="18" x14ac:dyDescent="0.2">
      <c r="B499" s="314" t="s">
        <v>845</v>
      </c>
      <c r="C499" s="315" t="str">
        <f>VLOOKUP(D499,Fontes!$A$6:$H$11629,8,FALSE)</f>
        <v>SBC / RJ</v>
      </c>
      <c r="D499" s="315">
        <v>53086</v>
      </c>
      <c r="E499" s="204" t="str">
        <f>VLOOKUP(D499,Fontes!$A$6:$H$11629,2,FALSE)</f>
        <v>Caixa sifonada em pvc 150 x 185 x 75 mm</v>
      </c>
      <c r="F499" s="203">
        <v>18</v>
      </c>
      <c r="G499" s="203" t="str">
        <f>VLOOKUP(D499,Fontes!$A$6:$L$11629,3,FALSE)</f>
        <v>un</v>
      </c>
      <c r="H499" s="203">
        <v>168.45</v>
      </c>
      <c r="I499" s="203">
        <v>69.02000000000001</v>
      </c>
      <c r="J499" s="203">
        <v>0</v>
      </c>
      <c r="K499" s="316">
        <f t="shared" si="173"/>
        <v>237.47</v>
      </c>
      <c r="L499" s="317">
        <f t="shared" si="174"/>
        <v>4274.46</v>
      </c>
      <c r="M499" s="318">
        <f t="shared" si="168"/>
        <v>1.547975378280539E-4</v>
      </c>
    </row>
    <row r="500" spans="1:14" s="313" customFormat="1" ht="54" x14ac:dyDescent="0.2">
      <c r="B500" s="314" t="s">
        <v>846</v>
      </c>
      <c r="C500" s="315" t="str">
        <f>VLOOKUP(D500,Fontes!$A$6:$H$11629,8,FALSE)</f>
        <v>SINAPI / RJ</v>
      </c>
      <c r="D500" s="315">
        <v>97902</v>
      </c>
      <c r="E500" s="204" t="str">
        <f>VLOOKUP(D500,Fontes!$A$6:$H$11629,2,FALSE)</f>
        <v>Caixa enterrada hidráulica retangular em alvenaria com tijolos cerâmicos maciços, dimensões internas: 0,6x0,6x0,6 m para rede de esgoto</v>
      </c>
      <c r="F500" s="203">
        <v>2</v>
      </c>
      <c r="G500" s="203" t="str">
        <f>VLOOKUP(D500,Fontes!$A$6:$L$11629,3,FALSE)</f>
        <v>un</v>
      </c>
      <c r="H500" s="203">
        <v>386.15990471941171</v>
      </c>
      <c r="I500" s="203">
        <v>317.77308049914365</v>
      </c>
      <c r="J500" s="203">
        <v>2.2870147814447535</v>
      </c>
      <c r="K500" s="316">
        <f t="shared" si="173"/>
        <v>706.22</v>
      </c>
      <c r="L500" s="317">
        <f t="shared" si="174"/>
        <v>1412.44</v>
      </c>
      <c r="M500" s="318">
        <f t="shared" si="168"/>
        <v>5.1150843458555343E-5</v>
      </c>
    </row>
    <row r="501" spans="1:14" s="313" customFormat="1" ht="54" x14ac:dyDescent="0.2">
      <c r="B501" s="314" t="s">
        <v>847</v>
      </c>
      <c r="C501" s="315" t="str">
        <f>VLOOKUP(D501,Fontes!$A$6:$H$11629,8,FALSE)</f>
        <v>SINAPI / RJ</v>
      </c>
      <c r="D501" s="315">
        <v>98107</v>
      </c>
      <c r="E501" s="204" t="str">
        <f>VLOOKUP(D501,Fontes!$A$6:$H$11629,2,FALSE)</f>
        <v>Caixa de gordura simples (capacidade: 36 l), retangular, em alvenaria com blocos de concreto, dimensões internas = 0,2 x 0,4 m, altura interna = 0,8 m</v>
      </c>
      <c r="F501" s="203">
        <v>1</v>
      </c>
      <c r="G501" s="203" t="str">
        <f>VLOOKUP(D501,Fontes!$A$6:$L$11629,3,FALSE)</f>
        <v>un</v>
      </c>
      <c r="H501" s="203">
        <v>166.28814912796395</v>
      </c>
      <c r="I501" s="203">
        <v>172.68512639623748</v>
      </c>
      <c r="J501" s="203">
        <v>0.47672447579854987</v>
      </c>
      <c r="K501" s="316">
        <f t="shared" si="173"/>
        <v>339.45</v>
      </c>
      <c r="L501" s="317">
        <f t="shared" si="174"/>
        <v>339.45</v>
      </c>
      <c r="M501" s="318">
        <f t="shared" si="168"/>
        <v>1.2293020455386854E-5</v>
      </c>
    </row>
    <row r="502" spans="1:14" s="109" customFormat="1" ht="18" x14ac:dyDescent="0.2">
      <c r="B502" s="114"/>
      <c r="C502" s="115"/>
      <c r="D502" s="115"/>
      <c r="E502" s="116"/>
      <c r="F502" s="117"/>
      <c r="G502" s="117"/>
      <c r="H502" s="117"/>
      <c r="I502" s="117"/>
      <c r="J502" s="117"/>
      <c r="K502" s="118"/>
      <c r="L502" s="119"/>
      <c r="M502" s="120">
        <f t="shared" si="168"/>
        <v>0</v>
      </c>
    </row>
    <row r="503" spans="1:14" s="236" customFormat="1" ht="25.5" customHeight="1" x14ac:dyDescent="0.2">
      <c r="A503" s="117"/>
      <c r="B503" s="217" t="s">
        <v>848</v>
      </c>
      <c r="C503" s="218"/>
      <c r="D503" s="218"/>
      <c r="E503" s="311" t="s">
        <v>454</v>
      </c>
      <c r="F503" s="219"/>
      <c r="G503" s="220"/>
      <c r="H503" s="221"/>
      <c r="I503" s="221"/>
      <c r="J503" s="219"/>
      <c r="K503" s="219"/>
      <c r="L503" s="222">
        <f>SUBTOTAL(9,L504:L506)</f>
        <v>12561.7</v>
      </c>
      <c r="M503" s="223">
        <f t="shared" si="168"/>
        <v>4.5491599662522632E-4</v>
      </c>
      <c r="N503" s="235"/>
    </row>
    <row r="504" spans="1:14" s="313" customFormat="1" ht="18" x14ac:dyDescent="0.2">
      <c r="B504" s="314" t="s">
        <v>849</v>
      </c>
      <c r="C504" s="315" t="str">
        <f>VLOOKUP(D504,Fontes!$A$6:$H$11629,8,FALSE)</f>
        <v>SBC / RJ</v>
      </c>
      <c r="D504" s="315">
        <v>52378</v>
      </c>
      <c r="E504" s="204" t="str">
        <f>VLOOKUP(D504,Fontes!$A$6:$H$11629,2,FALSE)</f>
        <v>Tubo de pvc soldável 25 mm com conexões</v>
      </c>
      <c r="F504" s="203">
        <v>80</v>
      </c>
      <c r="G504" s="203" t="str">
        <f>VLOOKUP(D504,Fontes!$A$6:$L$11629,3,FALSE)</f>
        <v>m</v>
      </c>
      <c r="H504" s="203">
        <v>6.9000000000000021</v>
      </c>
      <c r="I504" s="203">
        <v>11.2</v>
      </c>
      <c r="J504" s="203">
        <v>0</v>
      </c>
      <c r="K504" s="316">
        <f t="shared" ref="K504:K506" si="175">ROUND(+H504+I504+J504,2)</f>
        <v>18.100000000000001</v>
      </c>
      <c r="L504" s="317">
        <f t="shared" ref="L504:L506" si="176">ROUND(F504*K504,2)</f>
        <v>1448</v>
      </c>
      <c r="M504" s="318">
        <f t="shared" si="168"/>
        <v>5.2438631961703246E-5</v>
      </c>
    </row>
    <row r="505" spans="1:14" s="313" customFormat="1" ht="18" x14ac:dyDescent="0.2">
      <c r="B505" s="314" t="s">
        <v>850</v>
      </c>
      <c r="C505" s="315" t="str">
        <f>VLOOKUP(D505,Fontes!$A$6:$H$11629,8,FALSE)</f>
        <v>SBC / RJ</v>
      </c>
      <c r="D505" s="315">
        <v>52069</v>
      </c>
      <c r="E505" s="204" t="str">
        <f>VLOOKUP(D505,Fontes!$A$6:$H$11629,2,FALSE)</f>
        <v>Tubo de pvc soldável 32 mm com conexões</v>
      </c>
      <c r="F505" s="203">
        <v>50</v>
      </c>
      <c r="G505" s="203" t="str">
        <f>VLOOKUP(D505,Fontes!$A$6:$L$11629,3,FALSE)</f>
        <v>m</v>
      </c>
      <c r="H505" s="203">
        <v>10.87</v>
      </c>
      <c r="I505" s="203">
        <v>6.7799999999999994</v>
      </c>
      <c r="J505" s="203">
        <v>0</v>
      </c>
      <c r="K505" s="316">
        <f t="shared" si="175"/>
        <v>17.649999999999999</v>
      </c>
      <c r="L505" s="317">
        <f t="shared" si="176"/>
        <v>882.5</v>
      </c>
      <c r="M505" s="318">
        <f t="shared" si="168"/>
        <v>3.1959318167267343E-5</v>
      </c>
    </row>
    <row r="506" spans="1:14" s="313" customFormat="1" ht="18" x14ac:dyDescent="0.2">
      <c r="B506" s="314" t="s">
        <v>851</v>
      </c>
      <c r="C506" s="315" t="str">
        <f>VLOOKUP(D506,Fontes!$A$6:$H$11629,8,FALSE)</f>
        <v>SINAPI / RJ</v>
      </c>
      <c r="D506" s="315">
        <v>89711</v>
      </c>
      <c r="E506" s="204" t="str">
        <f>VLOOKUP(D506,Fontes!$A$6:$H$11629,2,FALSE)</f>
        <v>Tubo pvc, serie normal, esgoto predial, DN 40 mm</v>
      </c>
      <c r="F506" s="203">
        <v>360</v>
      </c>
      <c r="G506" s="203" t="str">
        <f>VLOOKUP(D506,Fontes!$A$6:$L$11629,3,FALSE)</f>
        <v>m</v>
      </c>
      <c r="H506" s="203">
        <v>13.446835330670218</v>
      </c>
      <c r="I506" s="203">
        <v>14.973164669329782</v>
      </c>
      <c r="J506" s="203">
        <v>0</v>
      </c>
      <c r="K506" s="316">
        <f t="shared" si="175"/>
        <v>28.42</v>
      </c>
      <c r="L506" s="317">
        <f t="shared" si="176"/>
        <v>10231.200000000001</v>
      </c>
      <c r="M506" s="318">
        <f t="shared" si="168"/>
        <v>3.705180464962557E-4</v>
      </c>
    </row>
    <row r="507" spans="1:14" s="109" customFormat="1" ht="18" x14ac:dyDescent="0.2">
      <c r="B507" s="114"/>
      <c r="C507" s="115"/>
      <c r="D507" s="115"/>
      <c r="E507" s="116"/>
      <c r="F507" s="117"/>
      <c r="G507" s="117"/>
      <c r="H507" s="117"/>
      <c r="I507" s="117"/>
      <c r="J507" s="117"/>
      <c r="K507" s="118"/>
      <c r="L507" s="119"/>
      <c r="M507" s="120">
        <f t="shared" si="168"/>
        <v>0</v>
      </c>
    </row>
    <row r="508" spans="1:14" s="236" customFormat="1" ht="25.5" customHeight="1" x14ac:dyDescent="0.2">
      <c r="A508" s="117"/>
      <c r="B508" s="217" t="s">
        <v>852</v>
      </c>
      <c r="C508" s="218"/>
      <c r="D508" s="218"/>
      <c r="E508" s="311" t="s">
        <v>455</v>
      </c>
      <c r="F508" s="219"/>
      <c r="G508" s="220"/>
      <c r="H508" s="221"/>
      <c r="I508" s="221"/>
      <c r="J508" s="219"/>
      <c r="K508" s="219"/>
      <c r="L508" s="222">
        <f>SUBTOTAL(9,L509:L526)</f>
        <v>279142.41000000003</v>
      </c>
      <c r="M508" s="223">
        <f t="shared" si="168"/>
        <v>1.0109009739566901E-2</v>
      </c>
      <c r="N508" s="235"/>
    </row>
    <row r="509" spans="1:14" s="313" customFormat="1" ht="18" x14ac:dyDescent="0.2">
      <c r="B509" s="314" t="s">
        <v>853</v>
      </c>
      <c r="C509" s="315" t="str">
        <f>VLOOKUP(D509,Fontes!$A$6:$H$11629,8,FALSE)</f>
        <v>SBC / RJ</v>
      </c>
      <c r="D509" s="315">
        <v>52878</v>
      </c>
      <c r="E509" s="204" t="str">
        <f>VLOOKUP(D509,Fontes!$A$6:$H$11629,2,FALSE)</f>
        <v>Tubo de pvc soldável 60 mm com conexões</v>
      </c>
      <c r="F509" s="203">
        <v>24</v>
      </c>
      <c r="G509" s="203" t="str">
        <f>VLOOKUP(D509,Fontes!$A$6:$L$11629,3,FALSE)</f>
        <v>m</v>
      </c>
      <c r="H509" s="203">
        <v>51.190000000000005</v>
      </c>
      <c r="I509" s="203">
        <v>17.68</v>
      </c>
      <c r="J509" s="203">
        <v>0</v>
      </c>
      <c r="K509" s="316">
        <f t="shared" ref="K509:K526" si="177">ROUND(+H509+I509+J509,2)</f>
        <v>68.87</v>
      </c>
      <c r="L509" s="317">
        <f t="shared" ref="L509:L526" si="178">ROUND(F509*K509,2)</f>
        <v>1652.88</v>
      </c>
      <c r="M509" s="318">
        <f t="shared" si="168"/>
        <v>5.9858263809986235E-5</v>
      </c>
    </row>
    <row r="510" spans="1:14" s="313" customFormat="1" ht="18" x14ac:dyDescent="0.2">
      <c r="B510" s="314" t="s">
        <v>854</v>
      </c>
      <c r="C510" s="315" t="str">
        <f>VLOOKUP(D510,Fontes!$A$6:$H$11629,8,FALSE)</f>
        <v>SINAPI / RJ</v>
      </c>
      <c r="D510" s="315">
        <v>89511</v>
      </c>
      <c r="E510" s="204" t="str">
        <f>VLOOKUP(D510,Fontes!$A$6:$H$11629,2,FALSE)</f>
        <v>Tubo pvc, série R, água pluvial, DN 75 mm</v>
      </c>
      <c r="F510" s="203">
        <v>58</v>
      </c>
      <c r="G510" s="203" t="str">
        <f>VLOOKUP(D510,Fontes!$A$6:$L$11629,3,FALSE)</f>
        <v>m</v>
      </c>
      <c r="H510" s="203">
        <v>34.268796489761812</v>
      </c>
      <c r="I510" s="203">
        <v>12.551203510238194</v>
      </c>
      <c r="J510" s="203">
        <v>0</v>
      </c>
      <c r="K510" s="316">
        <f t="shared" si="177"/>
        <v>46.82</v>
      </c>
      <c r="L510" s="317">
        <f t="shared" si="178"/>
        <v>2715.56</v>
      </c>
      <c r="M510" s="318">
        <f t="shared" si="168"/>
        <v>9.8342715062101424E-5</v>
      </c>
    </row>
    <row r="511" spans="1:14" s="313" customFormat="1" ht="18" x14ac:dyDescent="0.2">
      <c r="B511" s="314" t="s">
        <v>855</v>
      </c>
      <c r="C511" s="315" t="str">
        <f>VLOOKUP(D511,Fontes!$A$6:$H$11629,8,FALSE)</f>
        <v>SINAPI / RJ</v>
      </c>
      <c r="D511" s="315">
        <v>89512</v>
      </c>
      <c r="E511" s="204" t="str">
        <f>VLOOKUP(D511,Fontes!$A$6:$H$11629,2,FALSE)</f>
        <v>Tubo pvc, série R, água pluvial, DN 100 mm</v>
      </c>
      <c r="F511" s="203">
        <v>390</v>
      </c>
      <c r="G511" s="203" t="str">
        <f>VLOOKUP(D511,Fontes!$A$6:$L$11629,3,FALSE)</f>
        <v>m</v>
      </c>
      <c r="H511" s="203">
        <v>46.035581241743728</v>
      </c>
      <c r="I511" s="203">
        <v>13.914418758256275</v>
      </c>
      <c r="J511" s="203">
        <v>0</v>
      </c>
      <c r="K511" s="316">
        <f t="shared" si="177"/>
        <v>59.95</v>
      </c>
      <c r="L511" s="317">
        <f t="shared" si="178"/>
        <v>23380.5</v>
      </c>
      <c r="M511" s="318">
        <f t="shared" ref="M511:M542" si="179">+L511/$L$851</f>
        <v>8.4671369791478089E-4</v>
      </c>
    </row>
    <row r="512" spans="1:14" s="313" customFormat="1" ht="18" x14ac:dyDescent="0.2">
      <c r="B512" s="314" t="s">
        <v>856</v>
      </c>
      <c r="C512" s="315" t="str">
        <f>VLOOKUP(D512,Fontes!$A$6:$H$11629,8,FALSE)</f>
        <v>SINAPI / RJ</v>
      </c>
      <c r="D512" s="315">
        <v>89580</v>
      </c>
      <c r="E512" s="204" t="str">
        <f>VLOOKUP(D512,Fontes!$A$6:$H$11629,2,FALSE)</f>
        <v>Tubo pvc, série R, água pluvial, DN 150 mm</v>
      </c>
      <c r="F512" s="203">
        <v>319</v>
      </c>
      <c r="G512" s="203" t="str">
        <f>VLOOKUP(D512,Fontes!$A$6:$L$11629,3,FALSE)</f>
        <v>m</v>
      </c>
      <c r="H512" s="203">
        <v>69.556386305569745</v>
      </c>
      <c r="I512" s="203">
        <v>5.4336136944302496</v>
      </c>
      <c r="J512" s="203">
        <v>0</v>
      </c>
      <c r="K512" s="316">
        <f t="shared" si="177"/>
        <v>74.989999999999995</v>
      </c>
      <c r="L512" s="317">
        <f t="shared" si="178"/>
        <v>23921.81</v>
      </c>
      <c r="M512" s="318">
        <f t="shared" si="179"/>
        <v>8.6631698235344772E-4</v>
      </c>
    </row>
    <row r="513" spans="1:14" s="313" customFormat="1" ht="18" x14ac:dyDescent="0.2">
      <c r="B513" s="314" t="s">
        <v>857</v>
      </c>
      <c r="C513" s="315" t="str">
        <f>VLOOKUP(D513,Fontes!$A$6:$H$11629,8,FALSE)</f>
        <v>SINAPI / RJ</v>
      </c>
      <c r="D513" s="315">
        <v>90696</v>
      </c>
      <c r="E513" s="204" t="str">
        <f>VLOOKUP(D513,Fontes!$A$6:$H$11629,2,FALSE)</f>
        <v>Tubo de pvc DN 200 mm, junta elástica</v>
      </c>
      <c r="F513" s="203">
        <v>15</v>
      </c>
      <c r="G513" s="203" t="str">
        <f>VLOOKUP(D513,Fontes!$A$6:$L$11629,3,FALSE)</f>
        <v>m</v>
      </c>
      <c r="H513" s="203">
        <v>152.74853985455582</v>
      </c>
      <c r="I513" s="203">
        <v>4.7614601454441745</v>
      </c>
      <c r="J513" s="203">
        <v>0</v>
      </c>
      <c r="K513" s="316">
        <f t="shared" si="177"/>
        <v>157.51</v>
      </c>
      <c r="L513" s="317">
        <f t="shared" si="178"/>
        <v>2362.65</v>
      </c>
      <c r="M513" s="318">
        <f t="shared" si="179"/>
        <v>8.5562247102429682E-5</v>
      </c>
    </row>
    <row r="514" spans="1:14" s="313" customFormat="1" ht="18" x14ac:dyDescent="0.2">
      <c r="B514" s="314" t="s">
        <v>858</v>
      </c>
      <c r="C514" s="315" t="str">
        <f>VLOOKUP(D514,Fontes!$A$6:$H$11629,8,FALSE)</f>
        <v>SINAPI / RJ</v>
      </c>
      <c r="D514" s="315">
        <v>90698</v>
      </c>
      <c r="E514" s="204" t="str">
        <f>VLOOKUP(D514,Fontes!$A$6:$H$11629,2,FALSE)</f>
        <v>Tubo de pvc DN 300 mm, junta elástica</v>
      </c>
      <c r="F514" s="203">
        <v>27</v>
      </c>
      <c r="G514" s="203" t="str">
        <f>VLOOKUP(D514,Fontes!$A$6:$L$11629,3,FALSE)</f>
        <v>m</v>
      </c>
      <c r="H514" s="203">
        <v>365.58061555590905</v>
      </c>
      <c r="I514" s="203">
        <v>5.3093844440909823</v>
      </c>
      <c r="J514" s="203">
        <v>0</v>
      </c>
      <c r="K514" s="316">
        <f t="shared" si="177"/>
        <v>370.89</v>
      </c>
      <c r="L514" s="317">
        <f t="shared" si="178"/>
        <v>10014.030000000001</v>
      </c>
      <c r="M514" s="318">
        <f t="shared" si="179"/>
        <v>3.6265333813774529E-4</v>
      </c>
    </row>
    <row r="515" spans="1:14" s="109" customFormat="1" ht="54" x14ac:dyDescent="0.2">
      <c r="B515" s="114" t="s">
        <v>859</v>
      </c>
      <c r="C515" s="315" t="str">
        <f>VLOOKUP(D515,Fontes!$A$6:$H$11629,8,FALSE)</f>
        <v>Custo Mercado Reajustado</v>
      </c>
      <c r="D515" s="315" t="s">
        <v>2151</v>
      </c>
      <c r="E515" s="204" t="str">
        <f>VLOOKUP(D515,Fontes!$A$6:$H$11629,2,FALSE)</f>
        <v>Grelha plana em ferro fundido, Ø 75mm - fornecimento e instalação</v>
      </c>
      <c r="F515" s="117">
        <v>6</v>
      </c>
      <c r="G515" s="117" t="str">
        <f>VLOOKUP(D515,Fontes!$A$6:$L$11629,3,FALSE)</f>
        <v>un</v>
      </c>
      <c r="H515" s="117">
        <v>15.473664900000001</v>
      </c>
      <c r="I515" s="117">
        <v>9.9676265279059511</v>
      </c>
      <c r="J515" s="117">
        <v>0</v>
      </c>
      <c r="K515" s="118">
        <f t="shared" si="177"/>
        <v>25.44</v>
      </c>
      <c r="L515" s="317">
        <f t="shared" ref="L515" si="180">ROUND(F515*K515,2)</f>
        <v>152.63999999999999</v>
      </c>
      <c r="M515" s="318">
        <f t="shared" si="179"/>
        <v>5.5277850708800987E-6</v>
      </c>
    </row>
    <row r="516" spans="1:14" s="313" customFormat="1" ht="54" x14ac:dyDescent="0.2">
      <c r="B516" s="314" t="s">
        <v>860</v>
      </c>
      <c r="C516" s="315" t="str">
        <f>VLOOKUP(D516,Fontes!$A$6:$H$11629,8,FALSE)</f>
        <v>Custo Mercado Reajustado</v>
      </c>
      <c r="D516" s="115" t="s">
        <v>2152</v>
      </c>
      <c r="E516" s="204" t="str">
        <f>VLOOKUP(D516,Fontes!$A$6:$H$11629,2,FALSE)</f>
        <v>Grelha hemisférica em ferro fundido, Ø 150mm - fornecimento e instalação</v>
      </c>
      <c r="F516" s="203">
        <v>19</v>
      </c>
      <c r="G516" s="203" t="str">
        <f>VLOOKUP(D516,Fontes!$A$6:$L$11629,3,FALSE)</f>
        <v>un</v>
      </c>
      <c r="H516" s="203">
        <v>21.27196215</v>
      </c>
      <c r="I516" s="203">
        <v>13.702699108273395</v>
      </c>
      <c r="J516" s="203">
        <v>0</v>
      </c>
      <c r="K516" s="316">
        <f t="shared" si="177"/>
        <v>34.97</v>
      </c>
      <c r="L516" s="317">
        <f t="shared" si="178"/>
        <v>664.43</v>
      </c>
      <c r="M516" s="318">
        <f t="shared" si="179"/>
        <v>2.4062016736405032E-5</v>
      </c>
    </row>
    <row r="517" spans="1:14" s="109" customFormat="1" ht="36" x14ac:dyDescent="0.2">
      <c r="B517" s="114" t="s">
        <v>861</v>
      </c>
      <c r="C517" s="315" t="str">
        <f>VLOOKUP(D517,Fontes!$A$6:$H$11629,8,FALSE)</f>
        <v>FACC</v>
      </c>
      <c r="D517" s="315" t="s">
        <v>1297</v>
      </c>
      <c r="E517" s="204" t="str">
        <f>VLOOKUP(D517,Fontes!$A$6:$H$11629,2,FALSE)</f>
        <v>Filtro fino VORTEX - WFF 300 REF: WISY - AQUASTOCK - fornecimento e instalação</v>
      </c>
      <c r="F517" s="117">
        <v>1</v>
      </c>
      <c r="G517" s="117" t="str">
        <f>VLOOKUP(D517,Fontes!$A$6:$L$11629,3,FALSE)</f>
        <v>un</v>
      </c>
      <c r="H517" s="117">
        <v>52719.95</v>
      </c>
      <c r="I517" s="117">
        <v>143.88</v>
      </c>
      <c r="J517" s="117">
        <v>0</v>
      </c>
      <c r="K517" s="118">
        <f t="shared" si="177"/>
        <v>52863.83</v>
      </c>
      <c r="L517" s="317">
        <f t="shared" ref="L517" si="181">ROUND(F517*K517,2)</f>
        <v>52863.83</v>
      </c>
      <c r="M517" s="318">
        <f t="shared" si="179"/>
        <v>1.9144384844309715E-3</v>
      </c>
    </row>
    <row r="518" spans="1:14" s="313" customFormat="1" ht="54" x14ac:dyDescent="0.2">
      <c r="B518" s="314" t="s">
        <v>862</v>
      </c>
      <c r="C518" s="315" t="str">
        <f>VLOOKUP(D518,Fontes!$A$6:$H$11629,8,FALSE)</f>
        <v>SINAPI / RJ</v>
      </c>
      <c r="D518" s="315">
        <v>99253</v>
      </c>
      <c r="E518" s="204" t="str">
        <f>VLOOKUP(D518,Fontes!$A$6:$H$11629,2,FALSE)</f>
        <v>Caixa enterrada hidráulica retangular em alvenaria com tijolos cerâmicos maciços, dimensões internas: 0,60x0,60x0,60 m para rede de drenagem</v>
      </c>
      <c r="F518" s="203">
        <v>6</v>
      </c>
      <c r="G518" s="203" t="str">
        <f>VLOOKUP(D518,Fontes!$A$6:$L$11629,3,FALSE)</f>
        <v>un</v>
      </c>
      <c r="H518" s="203">
        <v>371.18314647191937</v>
      </c>
      <c r="I518" s="203">
        <v>315.89817953389957</v>
      </c>
      <c r="J518" s="203">
        <v>2.2486739941810918</v>
      </c>
      <c r="K518" s="316">
        <f t="shared" si="177"/>
        <v>689.33</v>
      </c>
      <c r="L518" s="317">
        <f t="shared" si="178"/>
        <v>4135.9799999999996</v>
      </c>
      <c r="M518" s="318">
        <f t="shared" si="179"/>
        <v>1.4978255042884348E-4</v>
      </c>
    </row>
    <row r="519" spans="1:14" s="313" customFormat="1" ht="54" x14ac:dyDescent="0.2">
      <c r="B519" s="314" t="s">
        <v>863</v>
      </c>
      <c r="C519" s="315" t="str">
        <f>VLOOKUP(D519,Fontes!$A$6:$H$11629,8,FALSE)</f>
        <v>SINAPI / RJ</v>
      </c>
      <c r="D519" s="315">
        <v>99255</v>
      </c>
      <c r="E519" s="204" t="str">
        <f>VLOOKUP(D519,Fontes!$A$6:$H$11629,2,FALSE)</f>
        <v>Caixa enterrada hidráulica retangular em alvenaria com tijolos cerâmicos maciços, dimensões internas: 0,80x0,80x0,60 m para rede de drenagem</v>
      </c>
      <c r="F519" s="203">
        <v>1</v>
      </c>
      <c r="G519" s="203" t="str">
        <f>VLOOKUP(D519,Fontes!$A$6:$L$11629,3,FALSE)</f>
        <v>un</v>
      </c>
      <c r="H519" s="203">
        <v>515.15715469820611</v>
      </c>
      <c r="I519" s="203">
        <v>440.94142988880429</v>
      </c>
      <c r="J519" s="203">
        <v>3.591415412989631</v>
      </c>
      <c r="K519" s="316">
        <f t="shared" si="177"/>
        <v>959.69</v>
      </c>
      <c r="L519" s="317">
        <f t="shared" si="178"/>
        <v>959.69</v>
      </c>
      <c r="M519" s="318">
        <f t="shared" si="179"/>
        <v>3.4754717339314217E-5</v>
      </c>
    </row>
    <row r="520" spans="1:14" s="313" customFormat="1" ht="54" x14ac:dyDescent="0.2">
      <c r="B520" s="314" t="s">
        <v>864</v>
      </c>
      <c r="C520" s="315" t="str">
        <f>VLOOKUP(D520,Fontes!$A$6:$H$11629,8,FALSE)</f>
        <v>SINAPI / RJ</v>
      </c>
      <c r="D520" s="315">
        <v>99257</v>
      </c>
      <c r="E520" s="204" t="str">
        <f>VLOOKUP(D520,Fontes!$A$6:$H$11629,2,FALSE)</f>
        <v>Caixa enterrada hidráulica retangular em alvenaria com tijolos cerâmicos maciços, dimensões internas: 1x1x0,60 m para rede de drenagem</v>
      </c>
      <c r="F520" s="203">
        <v>1</v>
      </c>
      <c r="G520" s="203" t="str">
        <f>VLOOKUP(D520,Fontes!$A$6:$L$11629,3,FALSE)</f>
        <v>un</v>
      </c>
      <c r="H520" s="203">
        <v>622.61798911306164</v>
      </c>
      <c r="I520" s="203">
        <v>480.65554503192106</v>
      </c>
      <c r="J520" s="203">
        <v>4.1164658550173998</v>
      </c>
      <c r="K520" s="316">
        <f t="shared" si="177"/>
        <v>1107.3900000000001</v>
      </c>
      <c r="L520" s="317">
        <f t="shared" si="178"/>
        <v>1107.3900000000001</v>
      </c>
      <c r="M520" s="318">
        <f t="shared" si="179"/>
        <v>4.0103602657507291E-5</v>
      </c>
    </row>
    <row r="521" spans="1:14" s="109" customFormat="1" ht="18" x14ac:dyDescent="0.2">
      <c r="B521" s="114" t="s">
        <v>865</v>
      </c>
      <c r="C521" s="315" t="str">
        <f>VLOOKUP(D521,Fontes!$A$6:$H$11629,8,FALSE)</f>
        <v>FACC</v>
      </c>
      <c r="D521" s="315" t="s">
        <v>1299</v>
      </c>
      <c r="E521" s="204" t="str">
        <f>VLOOKUP(D521,Fontes!$A$6:$H$11629,2,FALSE)</f>
        <v>Reservatório de água em polietileno capacidade 7.000 litros</v>
      </c>
      <c r="F521" s="117">
        <v>2</v>
      </c>
      <c r="G521" s="117" t="str">
        <f>VLOOKUP(D521,Fontes!$A$6:$L$11629,3,FALSE)</f>
        <v>un</v>
      </c>
      <c r="H521" s="117">
        <v>8713.31</v>
      </c>
      <c r="I521" s="117">
        <v>317.01</v>
      </c>
      <c r="J521" s="117">
        <v>0</v>
      </c>
      <c r="K521" s="118">
        <f t="shared" si="177"/>
        <v>9030.32</v>
      </c>
      <c r="L521" s="317">
        <f t="shared" si="178"/>
        <v>18060.64</v>
      </c>
      <c r="M521" s="318">
        <f t="shared" si="179"/>
        <v>6.5405749582376799E-4</v>
      </c>
    </row>
    <row r="522" spans="1:14" s="109" customFormat="1" ht="54" x14ac:dyDescent="0.2">
      <c r="B522" s="114" t="s">
        <v>866</v>
      </c>
      <c r="C522" s="315" t="str">
        <f>VLOOKUP(D522,Fontes!$A$6:$H$11629,8,FALSE)</f>
        <v>Custo Mercado Reajustado</v>
      </c>
      <c r="D522" s="315" t="s">
        <v>2158</v>
      </c>
      <c r="E522" s="204" t="str">
        <f>VLOOKUP(D522,Fontes!$A$6:$H$11629,2,FALSE)</f>
        <v>Sistema de pressurização - REÚSO - 1 principal + 1 reserva, revesamento automático - Vazão: 4m³/h, Pressão: 40mca, Potência: 4cv</v>
      </c>
      <c r="F522" s="117">
        <v>1</v>
      </c>
      <c r="G522" s="117" t="str">
        <f>VLOOKUP(D522,Fontes!$A$6:$L$11629,3,FALSE)</f>
        <v>un</v>
      </c>
      <c r="H522" s="117">
        <v>107386.71515550002</v>
      </c>
      <c r="I522" s="117">
        <v>6410.5</v>
      </c>
      <c r="J522" s="117">
        <v>0</v>
      </c>
      <c r="K522" s="118">
        <f t="shared" si="177"/>
        <v>113797.22</v>
      </c>
      <c r="L522" s="317">
        <f t="shared" ref="L522" si="182">ROUND(F522*K522,2)</f>
        <v>113797.22</v>
      </c>
      <c r="M522" s="318">
        <f t="shared" si="179"/>
        <v>4.1211122498929394E-3</v>
      </c>
    </row>
    <row r="523" spans="1:14" s="109" customFormat="1" ht="36" x14ac:dyDescent="0.2">
      <c r="B523" s="114" t="s">
        <v>867</v>
      </c>
      <c r="C523" s="315" t="str">
        <f>VLOOKUP(D523,Fontes!$A$6:$H$11629,8,FALSE)</f>
        <v>FACC</v>
      </c>
      <c r="D523" s="115" t="s">
        <v>1298</v>
      </c>
      <c r="E523" s="204" t="str">
        <f>VLOOKUP(D523,Fontes!$A$6:$H$11629,2,FALSE)</f>
        <v>Estação para tratamento de água de chuva ALFAMEC - vazão: 1500 L/H, porte médio</v>
      </c>
      <c r="F523" s="117">
        <v>1</v>
      </c>
      <c r="G523" s="117" t="str">
        <f>VLOOKUP(D523,Fontes!$A$6:$L$11629,3,FALSE)</f>
        <v>un</v>
      </c>
      <c r="H523" s="117">
        <v>6295.11</v>
      </c>
      <c r="I523" s="117">
        <v>215.82</v>
      </c>
      <c r="J523" s="117">
        <v>0</v>
      </c>
      <c r="K523" s="118">
        <f t="shared" si="177"/>
        <v>6510.93</v>
      </c>
      <c r="L523" s="317">
        <f t="shared" ref="L523" si="183">ROUND(F523*K523,2)</f>
        <v>6510.93</v>
      </c>
      <c r="M523" s="318">
        <f t="shared" si="179"/>
        <v>2.3579023618674897E-4</v>
      </c>
    </row>
    <row r="524" spans="1:14" s="109" customFormat="1" ht="54" x14ac:dyDescent="0.2">
      <c r="B524" s="114" t="s">
        <v>868</v>
      </c>
      <c r="C524" s="315" t="str">
        <f>VLOOKUP(D524,Fontes!$A$6:$H$11629,8,FALSE)</f>
        <v>Custo Mercado Reajustado</v>
      </c>
      <c r="D524" s="115" t="s">
        <v>2160</v>
      </c>
      <c r="E524" s="204" t="str">
        <f>VLOOKUP(D524,Fontes!$A$6:$H$11629,2,FALSE)</f>
        <v>Poço de recalque de água servida volume = 1000 lts. Ø 1,00</v>
      </c>
      <c r="F524" s="117">
        <v>1</v>
      </c>
      <c r="G524" s="117" t="str">
        <f>VLOOKUP(D524,Fontes!$A$6:$L$11629,3,FALSE)</f>
        <v>un</v>
      </c>
      <c r="H524" s="117">
        <v>1854.30123</v>
      </c>
      <c r="I524" s="117">
        <v>579.63741000000005</v>
      </c>
      <c r="J524" s="117">
        <v>0</v>
      </c>
      <c r="K524" s="118">
        <f t="shared" si="177"/>
        <v>2433.94</v>
      </c>
      <c r="L524" s="317">
        <f t="shared" ref="L524" si="184">ROUND(F524*K524,2)</f>
        <v>2433.94</v>
      </c>
      <c r="M524" s="318">
        <f t="shared" si="179"/>
        <v>8.8143980577947507E-5</v>
      </c>
    </row>
    <row r="525" spans="1:14" s="109" customFormat="1" ht="54" x14ac:dyDescent="0.2">
      <c r="B525" s="114" t="s">
        <v>869</v>
      </c>
      <c r="C525" s="315" t="str">
        <f>VLOOKUP(D525,Fontes!$A$6:$H$11629,8,FALSE)</f>
        <v>Custo Mercado Reajustado</v>
      </c>
      <c r="D525" s="115" t="s">
        <v>2161</v>
      </c>
      <c r="E525" s="204" t="str">
        <f>VLOOKUP(D525,Fontes!$A$6:$H$11629,2,FALSE)</f>
        <v>Bomba de recalque de água servida, vazão: 13,00m3/h, pressão: 16mca, potência: 1,5cv</v>
      </c>
      <c r="F525" s="117">
        <v>1</v>
      </c>
      <c r="G525" s="117" t="str">
        <f>VLOOKUP(D525,Fontes!$A$6:$L$11629,3,FALSE)</f>
        <v>un</v>
      </c>
      <c r="H525" s="117">
        <v>4846.3380000000006</v>
      </c>
      <c r="I525" s="117">
        <v>3205.25</v>
      </c>
      <c r="J525" s="117">
        <v>0</v>
      </c>
      <c r="K525" s="118">
        <f t="shared" si="177"/>
        <v>8051.59</v>
      </c>
      <c r="L525" s="317">
        <f t="shared" ref="L525" si="185">ROUND(F525*K525,2)</f>
        <v>8051.59</v>
      </c>
      <c r="M525" s="318">
        <f t="shared" si="179"/>
        <v>2.915845060197032E-4</v>
      </c>
    </row>
    <row r="526" spans="1:14" s="313" customFormat="1" ht="36" x14ac:dyDescent="0.2">
      <c r="B526" s="314" t="s">
        <v>870</v>
      </c>
      <c r="C526" s="315" t="str">
        <f>VLOOKUP(D526,Fontes!$A$6:$H$11629,8,FALSE)</f>
        <v>SINAPI / RJ</v>
      </c>
      <c r="D526" s="315">
        <v>103003</v>
      </c>
      <c r="E526" s="204" t="str">
        <f>VLOOKUP(D526,Fontes!$A$6:$H$11629,2,FALSE)</f>
        <v>Grelha de ferro fundido simples com requadro, 300 x 1000 mm, assentada com argamassa 1 : 3 cimento: areia</v>
      </c>
      <c r="F526" s="203">
        <v>18</v>
      </c>
      <c r="G526" s="203" t="str">
        <f>VLOOKUP(D526,Fontes!$A$6:$L$11629,3,FALSE)</f>
        <v>un</v>
      </c>
      <c r="H526" s="203">
        <v>332.96079074012607</v>
      </c>
      <c r="I526" s="203">
        <v>20.189209259873881</v>
      </c>
      <c r="J526" s="203">
        <v>0</v>
      </c>
      <c r="K526" s="316">
        <f t="shared" si="177"/>
        <v>353.15</v>
      </c>
      <c r="L526" s="317">
        <f t="shared" si="178"/>
        <v>6356.7</v>
      </c>
      <c r="M526" s="318">
        <f t="shared" si="179"/>
        <v>2.3020487002138053E-4</v>
      </c>
    </row>
    <row r="527" spans="1:14" s="109" customFormat="1" ht="18" x14ac:dyDescent="0.2">
      <c r="B527" s="114"/>
      <c r="C527" s="115"/>
      <c r="D527" s="115"/>
      <c r="E527" s="116"/>
      <c r="F527" s="117"/>
      <c r="G527" s="117"/>
      <c r="H527" s="117"/>
      <c r="I527" s="117"/>
      <c r="J527" s="117"/>
      <c r="K527" s="118"/>
      <c r="L527" s="119"/>
      <c r="M527" s="120">
        <f t="shared" si="179"/>
        <v>0</v>
      </c>
    </row>
    <row r="528" spans="1:14" s="236" customFormat="1" ht="25.5" customHeight="1" x14ac:dyDescent="0.2">
      <c r="A528" s="117"/>
      <c r="B528" s="217" t="s">
        <v>871</v>
      </c>
      <c r="C528" s="218"/>
      <c r="D528" s="218"/>
      <c r="E528" s="311" t="s">
        <v>463</v>
      </c>
      <c r="F528" s="219"/>
      <c r="G528" s="220"/>
      <c r="H528" s="221"/>
      <c r="I528" s="221"/>
      <c r="J528" s="219"/>
      <c r="K528" s="219"/>
      <c r="L528" s="222">
        <f>SUBTOTAL(9,L529:L537)</f>
        <v>619796.33000000007</v>
      </c>
      <c r="M528" s="223">
        <f t="shared" si="179"/>
        <v>2.2445629585693631E-2</v>
      </c>
      <c r="N528" s="235"/>
    </row>
    <row r="529" spans="1:14" s="313" customFormat="1" ht="36" x14ac:dyDescent="0.2">
      <c r="B529" s="314" t="s">
        <v>872</v>
      </c>
      <c r="C529" s="315" t="str">
        <f>VLOOKUP(D529,Fontes!$A$6:$H$11629,8,FALSE)</f>
        <v>CDHU</v>
      </c>
      <c r="D529" s="315" t="s">
        <v>2348</v>
      </c>
      <c r="E529" s="204" t="str">
        <f>VLOOKUP(D529,Fontes!$A$6:$H$11629,2,FALSE)</f>
        <v>Tubo de cobre classe A, DN= 15 mm (1/2") inclusive conexões</v>
      </c>
      <c r="F529" s="203">
        <v>368</v>
      </c>
      <c r="G529" s="203" t="str">
        <f>VLOOKUP(D529,Fontes!$A$6:$L$11629,3,FALSE)</f>
        <v>m</v>
      </c>
      <c r="H529" s="203">
        <v>80.150000000000006</v>
      </c>
      <c r="I529" s="203">
        <v>18.420000000000002</v>
      </c>
      <c r="J529" s="203">
        <v>0</v>
      </c>
      <c r="K529" s="316">
        <f t="shared" ref="K529:K531" si="186">ROUND(+H529+I529+J529,2)</f>
        <v>98.57</v>
      </c>
      <c r="L529" s="317">
        <f t="shared" ref="L529:L531" si="187">ROUND(F529*K529,2)</f>
        <v>36273.760000000002</v>
      </c>
      <c r="M529" s="318">
        <f t="shared" si="179"/>
        <v>1.3136369823944425E-3</v>
      </c>
    </row>
    <row r="530" spans="1:14" s="313" customFormat="1" ht="36" x14ac:dyDescent="0.2">
      <c r="B530" s="314" t="s">
        <v>873</v>
      </c>
      <c r="C530" s="315" t="str">
        <f>VLOOKUP(D530,Fontes!$A$6:$H$11629,8,FALSE)</f>
        <v>CDHU</v>
      </c>
      <c r="D530" s="315" t="s">
        <v>2350</v>
      </c>
      <c r="E530" s="204" t="str">
        <f>VLOOKUP(D530,Fontes!$A$6:$H$11629,2,FALSE)</f>
        <v>Tubo de cobre classe A, DN= 22 mm (3/4") inclusive conexões</v>
      </c>
      <c r="F530" s="203">
        <v>132</v>
      </c>
      <c r="G530" s="203" t="str">
        <f>VLOOKUP(D530,Fontes!$A$6:$L$11629,3,FALSE)</f>
        <v>m</v>
      </c>
      <c r="H530" s="203">
        <v>119.52</v>
      </c>
      <c r="I530" s="203">
        <v>20.100000000000001</v>
      </c>
      <c r="J530" s="203">
        <v>0</v>
      </c>
      <c r="K530" s="316">
        <f t="shared" si="186"/>
        <v>139.62</v>
      </c>
      <c r="L530" s="317">
        <f t="shared" si="187"/>
        <v>18429.84</v>
      </c>
      <c r="M530" s="318">
        <f t="shared" si="179"/>
        <v>6.6742789839300892E-4</v>
      </c>
    </row>
    <row r="531" spans="1:14" s="313" customFormat="1" ht="18" x14ac:dyDescent="0.2">
      <c r="B531" s="314" t="s">
        <v>874</v>
      </c>
      <c r="C531" s="315" t="str">
        <f>VLOOKUP(D531,Fontes!$A$6:$H$11629,8,FALSE)</f>
        <v>CDHU</v>
      </c>
      <c r="D531" s="315" t="s">
        <v>2352</v>
      </c>
      <c r="E531" s="204" t="str">
        <f>VLOOKUP(D531,Fontes!$A$6:$H$11629,2,FALSE)</f>
        <v>Tubo de cobre classe A, DN= 28 mm (1") inclusive conexões</v>
      </c>
      <c r="F531" s="203">
        <v>268</v>
      </c>
      <c r="G531" s="203" t="str">
        <f>VLOOKUP(D531,Fontes!$A$6:$L$11629,3,FALSE)</f>
        <v>m</v>
      </c>
      <c r="H531" s="203">
        <v>147.13</v>
      </c>
      <c r="I531" s="203">
        <v>25.12</v>
      </c>
      <c r="J531" s="203">
        <v>0</v>
      </c>
      <c r="K531" s="316">
        <f t="shared" si="186"/>
        <v>172.25</v>
      </c>
      <c r="L531" s="317">
        <f t="shared" si="187"/>
        <v>46163</v>
      </c>
      <c r="M531" s="318">
        <f t="shared" si="179"/>
        <v>1.6717711099779743E-3</v>
      </c>
    </row>
    <row r="532" spans="1:14" s="109" customFormat="1" ht="54" x14ac:dyDescent="0.2">
      <c r="B532" s="114" t="s">
        <v>875</v>
      </c>
      <c r="C532" s="315" t="str">
        <f>VLOOKUP(D532,Fontes!$A$6:$H$11629,8,FALSE)</f>
        <v>Custo Mercado Reajustado</v>
      </c>
      <c r="D532" s="115" t="s">
        <v>2166</v>
      </c>
      <c r="E532" s="204" t="str">
        <f>VLOOKUP(D532,Fontes!$A$6:$H$11629,2,FALSE)</f>
        <v>Ponto de gases especiais + registro de esfera em bronze para gás, Ø ½" - fornecimento e instalação</v>
      </c>
      <c r="F532" s="117">
        <v>45</v>
      </c>
      <c r="G532" s="203" t="str">
        <f>VLOOKUP(D532,Fontes!$A$6:$L$11629,3,FALSE)</f>
        <v>pt</v>
      </c>
      <c r="H532" s="203">
        <v>7051.55</v>
      </c>
      <c r="I532" s="203">
        <v>783.50413100000003</v>
      </c>
      <c r="J532" s="203">
        <v>0</v>
      </c>
      <c r="K532" s="316">
        <f t="shared" ref="K532:K537" si="188">ROUND(+H532+I532+J532,2)</f>
        <v>7835.05</v>
      </c>
      <c r="L532" s="317">
        <f t="shared" ref="L532:L537" si="189">ROUND(F532*K532,2)</f>
        <v>352577.25</v>
      </c>
      <c r="M532" s="318">
        <f t="shared" si="179"/>
        <v>1.276841757653276E-2</v>
      </c>
    </row>
    <row r="533" spans="1:14" s="109" customFormat="1" ht="54" x14ac:dyDescent="0.2">
      <c r="B533" s="114" t="s">
        <v>876</v>
      </c>
      <c r="C533" s="315" t="str">
        <f>VLOOKUP(D533,Fontes!$A$6:$H$11629,8,FALSE)</f>
        <v>Custo Mercado Reajustado</v>
      </c>
      <c r="D533" s="115" t="s">
        <v>2167</v>
      </c>
      <c r="E533" s="204" t="str">
        <f>VLOOKUP(D533,Fontes!$A$6:$H$11629,2,FALSE)</f>
        <v>Cilindro de gás P10</v>
      </c>
      <c r="F533" s="117">
        <v>3</v>
      </c>
      <c r="G533" s="203" t="str">
        <f>VLOOKUP(D533,Fontes!$A$6:$L$11629,3,FALSE)</f>
        <v>pç</v>
      </c>
      <c r="H533" s="203">
        <v>12821</v>
      </c>
      <c r="I533" s="203">
        <v>1175.2626069999999</v>
      </c>
      <c r="J533" s="203">
        <v>0</v>
      </c>
      <c r="K533" s="316">
        <f t="shared" si="188"/>
        <v>13996.26</v>
      </c>
      <c r="L533" s="317">
        <f t="shared" si="189"/>
        <v>41988.78</v>
      </c>
      <c r="M533" s="318">
        <f t="shared" si="179"/>
        <v>1.5206037161194239E-3</v>
      </c>
    </row>
    <row r="534" spans="1:14" s="109" customFormat="1" ht="54" x14ac:dyDescent="0.2">
      <c r="B534" s="114" t="s">
        <v>877</v>
      </c>
      <c r="C534" s="315" t="str">
        <f>VLOOKUP(D534,Fontes!$A$6:$H$11629,8,FALSE)</f>
        <v>Custo Mercado Reajustado</v>
      </c>
      <c r="D534" s="115" t="s">
        <v>2168</v>
      </c>
      <c r="E534" s="204" t="str">
        <f>VLOOKUP(D534,Fontes!$A$6:$H$11629,2,FALSE)</f>
        <v>Central de gases para argônio - fornecimento e instalação</v>
      </c>
      <c r="F534" s="117">
        <v>1</v>
      </c>
      <c r="G534" s="203" t="str">
        <f>VLOOKUP(D534,Fontes!$A$6:$L$11629,3,FALSE)</f>
        <v>un</v>
      </c>
      <c r="H534" s="203">
        <v>19231.5</v>
      </c>
      <c r="I534" s="203">
        <v>7051.55</v>
      </c>
      <c r="J534" s="203">
        <v>0</v>
      </c>
      <c r="K534" s="316">
        <f t="shared" si="188"/>
        <v>26283.05</v>
      </c>
      <c r="L534" s="317">
        <f t="shared" si="189"/>
        <v>26283.05</v>
      </c>
      <c r="M534" s="318">
        <f t="shared" si="179"/>
        <v>9.518281669758594E-4</v>
      </c>
    </row>
    <row r="535" spans="1:14" s="109" customFormat="1" ht="54" x14ac:dyDescent="0.2">
      <c r="B535" s="114" t="s">
        <v>878</v>
      </c>
      <c r="C535" s="315" t="str">
        <f>VLOOKUP(D535,Fontes!$A$6:$H$11629,8,FALSE)</f>
        <v>Custo Mercado Reajustado</v>
      </c>
      <c r="D535" s="115" t="s">
        <v>2169</v>
      </c>
      <c r="E535" s="204" t="str">
        <f>VLOOKUP(D535,Fontes!$A$6:$H$11629,2,FALSE)</f>
        <v>Central de gases para oxigênio - fornecimento e instalação</v>
      </c>
      <c r="F535" s="117">
        <v>1</v>
      </c>
      <c r="G535" s="203" t="str">
        <f>VLOOKUP(D535,Fontes!$A$6:$L$11629,3,FALSE)</f>
        <v>un</v>
      </c>
      <c r="H535" s="203">
        <v>19231.5</v>
      </c>
      <c r="I535" s="203">
        <v>7051.55</v>
      </c>
      <c r="J535" s="203">
        <v>0</v>
      </c>
      <c r="K535" s="316">
        <f t="shared" si="188"/>
        <v>26283.05</v>
      </c>
      <c r="L535" s="317">
        <f t="shared" si="189"/>
        <v>26283.05</v>
      </c>
      <c r="M535" s="318">
        <f t="shared" si="179"/>
        <v>9.518281669758594E-4</v>
      </c>
    </row>
    <row r="536" spans="1:14" s="109" customFormat="1" ht="54" x14ac:dyDescent="0.2">
      <c r="B536" s="114" t="s">
        <v>879</v>
      </c>
      <c r="C536" s="315" t="str">
        <f>VLOOKUP(D536,Fontes!$A$6:$H$11629,8,FALSE)</f>
        <v>Custo Mercado Reajustado</v>
      </c>
      <c r="D536" s="115" t="s">
        <v>2170</v>
      </c>
      <c r="E536" s="204" t="str">
        <f>VLOOKUP(D536,Fontes!$A$6:$H$11629,2,FALSE)</f>
        <v>Central de gases para nitrogênio - fornecimento e instalação</v>
      </c>
      <c r="F536" s="117">
        <v>1</v>
      </c>
      <c r="G536" s="203" t="str">
        <f>VLOOKUP(D536,Fontes!$A$6:$L$11629,3,FALSE)</f>
        <v>un</v>
      </c>
      <c r="H536" s="203">
        <v>19231.5</v>
      </c>
      <c r="I536" s="203">
        <v>7051.55</v>
      </c>
      <c r="J536" s="203">
        <v>0</v>
      </c>
      <c r="K536" s="316">
        <f t="shared" si="188"/>
        <v>26283.05</v>
      </c>
      <c r="L536" s="317">
        <f t="shared" si="189"/>
        <v>26283.05</v>
      </c>
      <c r="M536" s="318">
        <f t="shared" si="179"/>
        <v>9.518281669758594E-4</v>
      </c>
    </row>
    <row r="537" spans="1:14" s="109" customFormat="1" ht="54" x14ac:dyDescent="0.2">
      <c r="B537" s="114" t="s">
        <v>880</v>
      </c>
      <c r="C537" s="315" t="str">
        <f>VLOOKUP(D537,Fontes!$A$6:$H$11629,8,FALSE)</f>
        <v>Custo Mercado Reajustado</v>
      </c>
      <c r="D537" s="115" t="s">
        <v>2171</v>
      </c>
      <c r="E537" s="204" t="str">
        <f>VLOOKUP(D537,Fontes!$A$6:$H$11629,2,FALSE)</f>
        <v>Central de gases para ar comprimido - fornecimento e instalação</v>
      </c>
      <c r="F537" s="117">
        <v>1</v>
      </c>
      <c r="G537" s="203" t="str">
        <f>VLOOKUP(D537,Fontes!$A$6:$L$11629,3,FALSE)</f>
        <v>un</v>
      </c>
      <c r="H537" s="203">
        <v>38463</v>
      </c>
      <c r="I537" s="203">
        <v>7051.55</v>
      </c>
      <c r="J537" s="203">
        <v>0</v>
      </c>
      <c r="K537" s="316">
        <f t="shared" si="188"/>
        <v>45514.55</v>
      </c>
      <c r="L537" s="317">
        <f t="shared" si="189"/>
        <v>45514.55</v>
      </c>
      <c r="M537" s="318">
        <f t="shared" si="179"/>
        <v>1.6482878013484397E-3</v>
      </c>
    </row>
    <row r="538" spans="1:14" s="109" customFormat="1" ht="18" x14ac:dyDescent="0.2">
      <c r="B538" s="114"/>
      <c r="C538" s="115"/>
      <c r="D538" s="115"/>
      <c r="E538" s="116"/>
      <c r="F538" s="117"/>
      <c r="G538" s="117"/>
      <c r="H538" s="117"/>
      <c r="I538" s="117"/>
      <c r="J538" s="117"/>
      <c r="K538" s="118"/>
      <c r="L538" s="119"/>
      <c r="M538" s="120">
        <f t="shared" si="179"/>
        <v>0</v>
      </c>
    </row>
    <row r="539" spans="1:14" s="236" customFormat="1" ht="25.5" customHeight="1" x14ac:dyDescent="0.2">
      <c r="A539" s="117"/>
      <c r="B539" s="217" t="s">
        <v>881</v>
      </c>
      <c r="C539" s="218"/>
      <c r="D539" s="218"/>
      <c r="E539" s="311" t="s">
        <v>469</v>
      </c>
      <c r="F539" s="219"/>
      <c r="G539" s="220"/>
      <c r="H539" s="221"/>
      <c r="I539" s="221"/>
      <c r="J539" s="219"/>
      <c r="K539" s="219"/>
      <c r="L539" s="222">
        <f>SUBTOTAL(9,L540:L546)</f>
        <v>73976.94</v>
      </c>
      <c r="M539" s="223">
        <f t="shared" si="179"/>
        <v>2.6790397308791461E-3</v>
      </c>
      <c r="N539" s="235"/>
    </row>
    <row r="540" spans="1:14" s="313" customFormat="1" ht="18" x14ac:dyDescent="0.2">
      <c r="B540" s="314" t="s">
        <v>882</v>
      </c>
      <c r="C540" s="315" t="str">
        <f>VLOOKUP(D540,Fontes!$A$6:$H$11629,8,FALSE)</f>
        <v>SINAPI / RJ</v>
      </c>
      <c r="D540" s="315">
        <v>92280</v>
      </c>
      <c r="E540" s="204" t="str">
        <f>VLOOKUP(D540,Fontes!$A$6:$H$11629,2,FALSE)</f>
        <v>Tubo em cobre rígido, DN 66 mm, classe E, sem isolamento</v>
      </c>
      <c r="F540" s="203" t="s">
        <v>473</v>
      </c>
      <c r="G540" s="203" t="str">
        <f>VLOOKUP(D540,Fontes!$A$6:$L$11629,3,FALSE)</f>
        <v>m</v>
      </c>
      <c r="H540" s="203">
        <v>298.56453142501556</v>
      </c>
      <c r="I540" s="203">
        <v>4.115468574984444</v>
      </c>
      <c r="J540" s="203">
        <v>0</v>
      </c>
      <c r="K540" s="316">
        <f t="shared" ref="K540:K545" si="190">ROUND(+H540+I540+J540,2)</f>
        <v>302.68</v>
      </c>
      <c r="L540" s="317">
        <f t="shared" ref="L540:L545" si="191">ROUND(F540*K540,2)</f>
        <v>29359.96</v>
      </c>
      <c r="M540" s="318">
        <f t="shared" si="179"/>
        <v>1.0632570005872435E-3</v>
      </c>
    </row>
    <row r="541" spans="1:14" s="313" customFormat="1" ht="36" x14ac:dyDescent="0.2">
      <c r="B541" s="314" t="s">
        <v>883</v>
      </c>
      <c r="C541" s="315" t="str">
        <f>VLOOKUP(D541,Fontes!$A$6:$H$11629,8,FALSE)</f>
        <v>SINAPI / RJ</v>
      </c>
      <c r="D541" s="315">
        <v>101905</v>
      </c>
      <c r="E541" s="204" t="str">
        <f>VLOOKUP(D541,Fontes!$A$6:$H$11629,2,FALSE)</f>
        <v>Extintor de incêndio portátil com carga de água pressurizada de 10 l, classe A</v>
      </c>
      <c r="F541" s="203" t="s">
        <v>474</v>
      </c>
      <c r="G541" s="203" t="str">
        <f>VLOOKUP(D541,Fontes!$A$6:$L$11629,3,FALSE)</f>
        <v>un</v>
      </c>
      <c r="H541" s="203">
        <v>263.52870708307819</v>
      </c>
      <c r="I541" s="203">
        <v>20.951292916921822</v>
      </c>
      <c r="J541" s="203">
        <v>0</v>
      </c>
      <c r="K541" s="316">
        <f t="shared" si="190"/>
        <v>284.48</v>
      </c>
      <c r="L541" s="317">
        <f t="shared" si="191"/>
        <v>3982.72</v>
      </c>
      <c r="M541" s="318">
        <f t="shared" si="179"/>
        <v>1.4423231235256541E-4</v>
      </c>
    </row>
    <row r="542" spans="1:14" s="313" customFormat="1" ht="36" x14ac:dyDescent="0.2">
      <c r="B542" s="314" t="s">
        <v>884</v>
      </c>
      <c r="C542" s="315" t="str">
        <f>VLOOKUP(D542,Fontes!$A$6:$H$11629,8,FALSE)</f>
        <v>SINAPI / RJ</v>
      </c>
      <c r="D542" s="315">
        <v>101908</v>
      </c>
      <c r="E542" s="204" t="str">
        <f>VLOOKUP(D542,Fontes!$A$6:$H$11629,2,FALSE)</f>
        <v>Extintor de incêndio portátil com carga de PQS de 4 kg, classe BC</v>
      </c>
      <c r="F542" s="203" t="s">
        <v>474</v>
      </c>
      <c r="G542" s="203" t="str">
        <f>VLOOKUP(D542,Fontes!$A$6:$L$11629,3,FALSE)</f>
        <v>un</v>
      </c>
      <c r="H542" s="203">
        <v>255.21300340722669</v>
      </c>
      <c r="I542" s="203">
        <v>20.956996592773315</v>
      </c>
      <c r="J542" s="203">
        <v>0</v>
      </c>
      <c r="K542" s="316">
        <f t="shared" si="190"/>
        <v>276.17</v>
      </c>
      <c r="L542" s="317">
        <f t="shared" si="191"/>
        <v>3866.38</v>
      </c>
      <c r="M542" s="318">
        <f t="shared" si="179"/>
        <v>1.4001911453321146E-4</v>
      </c>
    </row>
    <row r="543" spans="1:14" s="109" customFormat="1" ht="54" x14ac:dyDescent="0.2">
      <c r="B543" s="114" t="s">
        <v>885</v>
      </c>
      <c r="C543" s="315" t="str">
        <f>VLOOKUP(D543,Fontes!$A$6:$H$11629,8,FALSE)</f>
        <v>Custo Mercado Reajustado</v>
      </c>
      <c r="D543" s="315" t="s">
        <v>2175</v>
      </c>
      <c r="E543" s="204" t="str">
        <f>VLOOKUP(D543,Fontes!$A$6:$H$11629,2,FALSE)</f>
        <v>Extintor de espuma 2-A:10-B - 9L - portátil</v>
      </c>
      <c r="F543" s="117" t="s">
        <v>405</v>
      </c>
      <c r="G543" s="117" t="str">
        <f>VLOOKUP(D543,Fontes!$A$6:$L$11629,3,FALSE)</f>
        <v>un</v>
      </c>
      <c r="H543" s="117">
        <v>1038.501</v>
      </c>
      <c r="I543" s="117">
        <v>668.9682233493927</v>
      </c>
      <c r="J543" s="117">
        <v>0</v>
      </c>
      <c r="K543" s="118">
        <f t="shared" si="190"/>
        <v>1707.47</v>
      </c>
      <c r="L543" s="119"/>
      <c r="M543" s="120">
        <f t="shared" ref="M543:M571" si="192">+L543/$L$851</f>
        <v>0</v>
      </c>
    </row>
    <row r="544" spans="1:14" s="313" customFormat="1" ht="72" x14ac:dyDescent="0.2">
      <c r="B544" s="314" t="s">
        <v>886</v>
      </c>
      <c r="C544" s="315" t="str">
        <f>VLOOKUP(D544,Fontes!$A$6:$H$11629,8,FALSE)</f>
        <v>SINAPI ADAP</v>
      </c>
      <c r="D544" s="315" t="s">
        <v>1922</v>
      </c>
      <c r="E544" s="204" t="str">
        <f>VLOOKUP(D544,Fontes!$A$6:$H$11629,2,FALSE)</f>
        <v>Abrigo para hidrante, 90x60x17cm, com registro globo angular 45 graus 2 1/2", adaptador storz 2 1/2", 2 mangueiras de incêndio 15m, redução 2 1/2" x 1 1/2" e esguicho em latão 1 1/2"</v>
      </c>
      <c r="F544" s="203" t="s">
        <v>475</v>
      </c>
      <c r="G544" s="203" t="str">
        <f>VLOOKUP(D544,Fontes!$A$6:$L$11629,3,FALSE)</f>
        <v>un</v>
      </c>
      <c r="H544" s="203">
        <v>1855.45</v>
      </c>
      <c r="I544" s="203">
        <v>218.48000000000002</v>
      </c>
      <c r="J544" s="203">
        <v>0</v>
      </c>
      <c r="K544" s="316">
        <f t="shared" si="190"/>
        <v>2073.9299999999998</v>
      </c>
      <c r="L544" s="317">
        <f t="shared" si="191"/>
        <v>16591.439999999999</v>
      </c>
      <c r="M544" s="318">
        <f t="shared" si="192"/>
        <v>6.0085111593555359E-4</v>
      </c>
    </row>
    <row r="545" spans="2:13" s="313" customFormat="1" ht="36" x14ac:dyDescent="0.2">
      <c r="B545" s="314" t="s">
        <v>887</v>
      </c>
      <c r="C545" s="315" t="str">
        <f>VLOOKUP(D545,Fontes!$A$6:$H$11629,8,FALSE)</f>
        <v>SINAPI / RJ</v>
      </c>
      <c r="D545" s="315">
        <v>106677</v>
      </c>
      <c r="E545" s="204" t="str">
        <f>VLOOKUP(D545,Fontes!$A$6:$H$11629,2,FALSE)</f>
        <v>Hidrante subterrâneo predial (com curva longa e caixa), DN 75 mm</v>
      </c>
      <c r="F545" s="203" t="s">
        <v>405</v>
      </c>
      <c r="G545" s="203" t="str">
        <f>VLOOKUP(D545,Fontes!$A$6:$L$11629,3,FALSE)</f>
        <v>un</v>
      </c>
      <c r="H545" s="203">
        <v>901.15123096269383</v>
      </c>
      <c r="I545" s="203">
        <v>51.888769037306126</v>
      </c>
      <c r="J545" s="203">
        <v>0</v>
      </c>
      <c r="K545" s="316">
        <f t="shared" si="190"/>
        <v>953.04</v>
      </c>
      <c r="L545" s="317">
        <f t="shared" si="191"/>
        <v>953.04</v>
      </c>
      <c r="M545" s="318">
        <f t="shared" si="192"/>
        <v>3.4513890749158603E-5</v>
      </c>
    </row>
    <row r="546" spans="2:13" s="109" customFormat="1" ht="36" x14ac:dyDescent="0.2">
      <c r="B546" s="114" t="s">
        <v>888</v>
      </c>
      <c r="C546" s="315" t="str">
        <f>VLOOKUP(D546,Fontes!$A$6:$H$11629,8,FALSE)</f>
        <v>SIURB</v>
      </c>
      <c r="D546" s="396" t="str">
        <f>Fontes!A257</f>
        <v>10.003.011</v>
      </c>
      <c r="E546" s="204" t="str">
        <f>VLOOKUP(D546,Fontes!$A$6:$H$11629,2,FALSE)</f>
        <v>Conjunto motor-bomba 112m3/h, 20mca, 10cv, 3500rpm, 220/380v, trifásico</v>
      </c>
      <c r="F546" s="117" t="s">
        <v>452</v>
      </c>
      <c r="G546" s="203" t="str">
        <f>VLOOKUP(D546,Fontes!$A$6:$L$11629,3,FALSE)</f>
        <v>un</v>
      </c>
      <c r="H546" s="203">
        <v>9092.33</v>
      </c>
      <c r="I546" s="203">
        <v>519.37</v>
      </c>
      <c r="J546" s="203">
        <v>0</v>
      </c>
      <c r="K546" s="316">
        <f t="shared" ref="K546" si="193">ROUND(+H546+I546+J546,2)</f>
        <v>9611.7000000000007</v>
      </c>
      <c r="L546" s="317">
        <f t="shared" ref="L546" si="194">ROUND(F546*K546,2)</f>
        <v>19223.400000000001</v>
      </c>
      <c r="M546" s="318">
        <f t="shared" si="192"/>
        <v>6.9616629672141319E-4</v>
      </c>
    </row>
    <row r="547" spans="2:13" s="109" customFormat="1" ht="18" x14ac:dyDescent="0.2">
      <c r="B547" s="114"/>
      <c r="C547" s="115"/>
      <c r="D547" s="115"/>
      <c r="E547" s="116"/>
      <c r="F547" s="117"/>
      <c r="G547" s="117"/>
      <c r="H547" s="117"/>
      <c r="I547" s="117"/>
      <c r="J547" s="117"/>
      <c r="K547" s="118"/>
      <c r="L547" s="119"/>
      <c r="M547" s="120">
        <f t="shared" si="192"/>
        <v>0</v>
      </c>
    </row>
    <row r="548" spans="2:13" s="109" customFormat="1" ht="18" x14ac:dyDescent="0.2">
      <c r="B548" s="114"/>
      <c r="C548" s="115"/>
      <c r="D548" s="115"/>
      <c r="E548" s="116"/>
      <c r="F548" s="117"/>
      <c r="G548" s="117"/>
      <c r="H548" s="117"/>
      <c r="I548" s="117"/>
      <c r="J548" s="117"/>
      <c r="K548" s="118"/>
      <c r="L548" s="119"/>
      <c r="M548" s="120">
        <f t="shared" si="192"/>
        <v>0</v>
      </c>
    </row>
    <row r="549" spans="2:13" s="109" customFormat="1" ht="36" x14ac:dyDescent="0.2">
      <c r="B549" s="206">
        <v>13</v>
      </c>
      <c r="C549" s="207"/>
      <c r="D549" s="207"/>
      <c r="E549" s="309" t="s">
        <v>478</v>
      </c>
      <c r="F549" s="209"/>
      <c r="G549" s="205"/>
      <c r="H549" s="210"/>
      <c r="I549" s="210"/>
      <c r="J549" s="209"/>
      <c r="K549" s="209"/>
      <c r="L549" s="211">
        <f>SUBTOTAL(9,L550:L584)</f>
        <v>133279.24000000002</v>
      </c>
      <c r="M549" s="212">
        <f t="shared" si="192"/>
        <v>4.826644347027292E-3</v>
      </c>
    </row>
    <row r="550" spans="2:13" s="109" customFormat="1" ht="25.5" customHeight="1" x14ac:dyDescent="0.2">
      <c r="B550" s="217" t="s">
        <v>889</v>
      </c>
      <c r="C550" s="218"/>
      <c r="D550" s="218"/>
      <c r="E550" s="311" t="s">
        <v>476</v>
      </c>
      <c r="F550" s="219"/>
      <c r="G550" s="220"/>
      <c r="H550" s="221"/>
      <c r="I550" s="221"/>
      <c r="J550" s="219"/>
      <c r="K550" s="219"/>
      <c r="L550" s="222">
        <f>SUBTOTAL(9,L551:L556)</f>
        <v>32663.280000000002</v>
      </c>
      <c r="M550" s="223">
        <f t="shared" si="192"/>
        <v>1.1828851647666177E-3</v>
      </c>
    </row>
    <row r="551" spans="2:13" s="313" customFormat="1" ht="36" x14ac:dyDescent="0.2">
      <c r="B551" s="314" t="s">
        <v>890</v>
      </c>
      <c r="C551" s="315" t="str">
        <f>VLOOKUP(D551,Fontes!$A$6:$H$11629,8,FALSE)</f>
        <v>SINAPI / RJ</v>
      </c>
      <c r="D551" s="315">
        <v>86932</v>
      </c>
      <c r="E551" s="204" t="str">
        <f>VLOOKUP(D551,Fontes!$A$6:$H$11629,2,FALSE)</f>
        <v>Vaso sanitário sifonado com caixa acoplada louça branca, incluso engate flexível em metal cromado, 1/2"  x 40cm</v>
      </c>
      <c r="F551" s="203">
        <v>15</v>
      </c>
      <c r="G551" s="203" t="str">
        <f>VLOOKUP(D551,Fontes!$A$6:$L$11629,3,FALSE)</f>
        <v>un</v>
      </c>
      <c r="H551" s="203">
        <v>587.21844885731707</v>
      </c>
      <c r="I551" s="203">
        <v>31.931551142682881</v>
      </c>
      <c r="J551" s="203">
        <v>0</v>
      </c>
      <c r="K551" s="316">
        <f t="shared" ref="K551:K556" si="195">ROUND(+H551+I551+J551,2)</f>
        <v>619.15</v>
      </c>
      <c r="L551" s="317">
        <f t="shared" ref="L551:L556" si="196">ROUND(F551*K551,2)</f>
        <v>9287.25</v>
      </c>
      <c r="M551" s="318">
        <f t="shared" si="192"/>
        <v>3.3633334577785114E-4</v>
      </c>
    </row>
    <row r="552" spans="2:13" s="313" customFormat="1" ht="54" x14ac:dyDescent="0.2">
      <c r="B552" s="314" t="s">
        <v>891</v>
      </c>
      <c r="C552" s="315" t="str">
        <f>VLOOKUP(D552,Fontes!$A$6:$H$11629,8,FALSE)</f>
        <v>SINAPI / RJ</v>
      </c>
      <c r="D552" s="315">
        <v>95471</v>
      </c>
      <c r="E552" s="204" t="str">
        <f>VLOOKUP(D552,Fontes!$A$6:$H$11629,2,FALSE)</f>
        <v>Vaso sanitario sifonado convencional para PNE sem furo frontal com louça branca sem assento, incluso conjunto de ligação para bacia sanitária ajustável</v>
      </c>
      <c r="F552" s="203">
        <v>6</v>
      </c>
      <c r="G552" s="203" t="str">
        <f>VLOOKUP(D552,Fontes!$A$6:$L$11629,3,FALSE)</f>
        <v>un</v>
      </c>
      <c r="H552" s="203">
        <v>859.10823374835763</v>
      </c>
      <c r="I552" s="203">
        <v>39.23176625164237</v>
      </c>
      <c r="J552" s="203">
        <v>0</v>
      </c>
      <c r="K552" s="316">
        <f t="shared" si="195"/>
        <v>898.34</v>
      </c>
      <c r="L552" s="317">
        <f t="shared" si="196"/>
        <v>5390.04</v>
      </c>
      <c r="M552" s="318">
        <f t="shared" si="192"/>
        <v>1.9519773744396338E-4</v>
      </c>
    </row>
    <row r="553" spans="2:13" s="313" customFormat="1" ht="54" x14ac:dyDescent="0.2">
      <c r="B553" s="314" t="s">
        <v>892</v>
      </c>
      <c r="C553" s="315" t="str">
        <f>VLOOKUP(D553,Fontes!$A$6:$H$11629,8,FALSE)</f>
        <v>SINAPI / RJ</v>
      </c>
      <c r="D553" s="315">
        <v>86938</v>
      </c>
      <c r="E553" s="204" t="str">
        <f>VLOOKUP(D553,Fontes!$A$6:$H$11629,2,FALSE)</f>
        <v>Cuba de embutir oval em louça branca, 35 x 50cm ou equivalente, incluso válvula e sifão tipo garrafa em metal cromado</v>
      </c>
      <c r="F553" s="203">
        <v>18</v>
      </c>
      <c r="G553" s="203" t="str">
        <f>VLOOKUP(D553,Fontes!$A$6:$L$11629,3,FALSE)</f>
        <v>un</v>
      </c>
      <c r="H553" s="203">
        <v>440.91062203806166</v>
      </c>
      <c r="I553" s="203">
        <v>37.18937796193832</v>
      </c>
      <c r="J553" s="203">
        <v>0</v>
      </c>
      <c r="K553" s="316">
        <f t="shared" si="195"/>
        <v>478.1</v>
      </c>
      <c r="L553" s="317">
        <f t="shared" si="196"/>
        <v>8605.7999999999993</v>
      </c>
      <c r="M553" s="318">
        <f t="shared" si="192"/>
        <v>3.1165495782874706E-4</v>
      </c>
    </row>
    <row r="554" spans="2:13" s="313" customFormat="1" ht="36" x14ac:dyDescent="0.2">
      <c r="B554" s="314" t="s">
        <v>893</v>
      </c>
      <c r="C554" s="315" t="str">
        <f>VLOOKUP(D554,Fontes!$A$6:$H$11629,8,FALSE)</f>
        <v>SINAPI / RJ</v>
      </c>
      <c r="D554" s="315">
        <v>86903</v>
      </c>
      <c r="E554" s="204" t="str">
        <f>VLOOKUP(D554,Fontes!$A$6:$H$11629,2,FALSE)</f>
        <v>Lavatório louça branca com coluna, 45 x 55cm ou equivalente, padrão médio</v>
      </c>
      <c r="F554" s="203">
        <v>6</v>
      </c>
      <c r="G554" s="203" t="str">
        <f>VLOOKUP(D554,Fontes!$A$6:$L$11629,3,FALSE)</f>
        <v>un</v>
      </c>
      <c r="H554" s="203">
        <v>368.65862500000003</v>
      </c>
      <c r="I554" s="203">
        <v>46.731375</v>
      </c>
      <c r="J554" s="203">
        <v>0</v>
      </c>
      <c r="K554" s="316">
        <f t="shared" si="195"/>
        <v>415.39</v>
      </c>
      <c r="L554" s="317">
        <f t="shared" si="196"/>
        <v>2492.34</v>
      </c>
      <c r="M554" s="318">
        <f t="shared" si="192"/>
        <v>9.0258908828336646E-5</v>
      </c>
    </row>
    <row r="555" spans="2:13" s="313" customFormat="1" ht="18" x14ac:dyDescent="0.2">
      <c r="B555" s="314" t="s">
        <v>894</v>
      </c>
      <c r="C555" s="315" t="str">
        <f>VLOOKUP(D555,Fontes!$A$6:$H$11629,8,FALSE)</f>
        <v>SINAPI / RJ</v>
      </c>
      <c r="D555" s="315">
        <v>100858</v>
      </c>
      <c r="E555" s="204" t="str">
        <f>VLOOKUP(D555,Fontes!$A$6:$H$11629,2,FALSE)</f>
        <v>Mictório sifonado louça branca  padrão médio</v>
      </c>
      <c r="F555" s="203">
        <v>6</v>
      </c>
      <c r="G555" s="203" t="str">
        <f>VLOOKUP(D555,Fontes!$A$6:$L$11629,3,FALSE)</f>
        <v>un</v>
      </c>
      <c r="H555" s="203">
        <v>705.72693951693009</v>
      </c>
      <c r="I555" s="203">
        <v>28.953060483069848</v>
      </c>
      <c r="J555" s="203">
        <v>0</v>
      </c>
      <c r="K555" s="316">
        <f t="shared" si="195"/>
        <v>734.68</v>
      </c>
      <c r="L555" s="317">
        <f t="shared" si="196"/>
        <v>4408.08</v>
      </c>
      <c r="M555" s="318">
        <f t="shared" si="192"/>
        <v>1.596365226365641E-4</v>
      </c>
    </row>
    <row r="556" spans="2:13" s="313" customFormat="1" ht="18" x14ac:dyDescent="0.2">
      <c r="B556" s="314" t="s">
        <v>895</v>
      </c>
      <c r="C556" s="315" t="str">
        <f>VLOOKUP(D556,Fontes!$A$6:$H$11629,8,FALSE)</f>
        <v>SINAPI / RJ</v>
      </c>
      <c r="D556" s="315">
        <v>86872</v>
      </c>
      <c r="E556" s="204" t="str">
        <f>VLOOKUP(D556,Fontes!$A$6:$H$11629,2,FALSE)</f>
        <v>Tanque de louça branca com coluna, 30l ou equivalente</v>
      </c>
      <c r="F556" s="203">
        <v>3</v>
      </c>
      <c r="G556" s="203" t="str">
        <f>VLOOKUP(D556,Fontes!$A$6:$L$11629,3,FALSE)</f>
        <v>un</v>
      </c>
      <c r="H556" s="203">
        <v>770.57243379871636</v>
      </c>
      <c r="I556" s="203">
        <v>56.017566201283657</v>
      </c>
      <c r="J556" s="203">
        <v>0</v>
      </c>
      <c r="K556" s="316">
        <f t="shared" si="195"/>
        <v>826.59</v>
      </c>
      <c r="L556" s="317">
        <f t="shared" si="196"/>
        <v>2479.77</v>
      </c>
      <c r="M556" s="318">
        <f t="shared" si="192"/>
        <v>8.9803692251155291E-5</v>
      </c>
    </row>
    <row r="557" spans="2:13" s="109" customFormat="1" ht="18" x14ac:dyDescent="0.2">
      <c r="B557" s="114"/>
      <c r="C557" s="115"/>
      <c r="D557" s="315"/>
      <c r="E557" s="116"/>
      <c r="F557" s="117"/>
      <c r="G557" s="117"/>
      <c r="H557" s="117"/>
      <c r="I557" s="117"/>
      <c r="J557" s="117"/>
      <c r="K557" s="118"/>
      <c r="L557" s="119"/>
      <c r="M557" s="120">
        <f t="shared" si="192"/>
        <v>0</v>
      </c>
    </row>
    <row r="558" spans="2:13" s="109" customFormat="1" ht="25.5" customHeight="1" x14ac:dyDescent="0.2">
      <c r="B558" s="217" t="s">
        <v>896</v>
      </c>
      <c r="C558" s="218"/>
      <c r="D558" s="218"/>
      <c r="E558" s="311" t="s">
        <v>477</v>
      </c>
      <c r="F558" s="219"/>
      <c r="G558" s="220"/>
      <c r="H558" s="221"/>
      <c r="I558" s="221"/>
      <c r="J558" s="219"/>
      <c r="K558" s="219"/>
      <c r="L558" s="222">
        <f>SUBTOTAL(9,L559:L574)</f>
        <v>42360.41</v>
      </c>
      <c r="M558" s="223">
        <f t="shared" si="192"/>
        <v>1.5340621199840152E-3</v>
      </c>
    </row>
    <row r="559" spans="2:13" s="313" customFormat="1" ht="36" x14ac:dyDescent="0.2">
      <c r="B559" s="314" t="s">
        <v>897</v>
      </c>
      <c r="C559" s="315" t="str">
        <f>VLOOKUP(D559,Fontes!$A$6:$H$11629,8,FALSE)</f>
        <v>SINAPI / RJ</v>
      </c>
      <c r="D559" s="315">
        <v>86936</v>
      </c>
      <c r="E559" s="204" t="str">
        <f>VLOOKUP(D559,Fontes!$A$6:$H$11629,2,FALSE)</f>
        <v>Cuba de embutir de aço inoxidável média, incluso válvula tipo americana e sifão tipo garrafa em metal cromado</v>
      </c>
      <c r="F559" s="203">
        <v>5</v>
      </c>
      <c r="G559" s="203" t="str">
        <f>VLOOKUP(D559,Fontes!$A$6:$L$11629,3,FALSE)</f>
        <v>un</v>
      </c>
      <c r="H559" s="203">
        <v>516.34454023233047</v>
      </c>
      <c r="I559" s="203">
        <v>26.615459767669456</v>
      </c>
      <c r="J559" s="203">
        <v>0</v>
      </c>
      <c r="K559" s="316">
        <f t="shared" ref="K559:K568" si="197">ROUND(+H559+I559+J559,2)</f>
        <v>542.96</v>
      </c>
      <c r="L559" s="317">
        <f t="shared" ref="L559:L568" si="198">ROUND(F559*K559,2)</f>
        <v>2714.8</v>
      </c>
      <c r="M559" s="318">
        <f t="shared" si="192"/>
        <v>9.8315192023226499E-5</v>
      </c>
    </row>
    <row r="560" spans="2:13" s="313" customFormat="1" ht="36" x14ac:dyDescent="0.2">
      <c r="B560" s="314" t="s">
        <v>898</v>
      </c>
      <c r="C560" s="315" t="str">
        <f>VLOOKUP(D560,Fontes!$A$6:$H$11629,8,FALSE)</f>
        <v>SBC / RJ</v>
      </c>
      <c r="D560" s="315">
        <v>190016</v>
      </c>
      <c r="E560" s="204" t="str">
        <f>VLOOKUP(D560,Fontes!$A$6:$H$11629,2,FALSE)</f>
        <v>Caixa de descarga embutida tipo Montana M900 ou equivalente</v>
      </c>
      <c r="F560" s="203">
        <v>6</v>
      </c>
      <c r="G560" s="203" t="str">
        <f>VLOOKUP(D560,Fontes!$A$6:$L$11629,3,FALSE)</f>
        <v>un</v>
      </c>
      <c r="H560" s="203">
        <v>1277.6500000000001</v>
      </c>
      <c r="I560" s="203">
        <v>129.82999999999993</v>
      </c>
      <c r="J560" s="203">
        <v>0</v>
      </c>
      <c r="K560" s="316">
        <f t="shared" si="197"/>
        <v>1407.48</v>
      </c>
      <c r="L560" s="317">
        <f t="shared" si="198"/>
        <v>8444.8799999999992</v>
      </c>
      <c r="M560" s="318">
        <f t="shared" si="192"/>
        <v>3.0582731649222961E-4</v>
      </c>
    </row>
    <row r="561" spans="2:13" s="313" customFormat="1" ht="36" x14ac:dyDescent="0.2">
      <c r="B561" s="314" t="s">
        <v>899</v>
      </c>
      <c r="C561" s="315" t="str">
        <f>VLOOKUP(D561,Fontes!$A$6:$H$11629,8,FALSE)</f>
        <v>SBC / RJ</v>
      </c>
      <c r="D561" s="315">
        <v>190874</v>
      </c>
      <c r="E561" s="204" t="str">
        <f>VLOOKUP(D561,Fontes!$A$6:$H$11629,2,FALSE)</f>
        <v>Acabamento para válvula de descarga embutida referência Benefit Docol ou equivalente</v>
      </c>
      <c r="F561" s="203">
        <v>6</v>
      </c>
      <c r="G561" s="203" t="str">
        <f>VLOOKUP(D561,Fontes!$A$6:$L$11629,3,FALSE)</f>
        <v>un</v>
      </c>
      <c r="H561" s="203">
        <v>587.75</v>
      </c>
      <c r="I561" s="203">
        <v>61.769999999999982</v>
      </c>
      <c r="J561" s="203">
        <v>0</v>
      </c>
      <c r="K561" s="316">
        <f t="shared" ref="K561" si="199">ROUND(+H561+I561+J561,2)</f>
        <v>649.52</v>
      </c>
      <c r="L561" s="317">
        <f t="shared" ref="L561" si="200">ROUND(F561*K561,2)</f>
        <v>3897.12</v>
      </c>
      <c r="M561" s="318">
        <f t="shared" si="192"/>
        <v>1.4113234902665258E-4</v>
      </c>
    </row>
    <row r="562" spans="2:13" s="313" customFormat="1" ht="18" x14ac:dyDescent="0.2">
      <c r="B562" s="314" t="s">
        <v>900</v>
      </c>
      <c r="C562" s="315" t="str">
        <f>VLOOKUP(D562,Fontes!$A$6:$H$11629,8,FALSE)</f>
        <v>SBC / RJ</v>
      </c>
      <c r="D562" s="315">
        <v>202113</v>
      </c>
      <c r="E562" s="204" t="str">
        <f>VLOOKUP(D562,Fontes!$A$6:$H$11629,2,FALSE)</f>
        <v xml:space="preserve">Válvula de descarga para mictório com sensor </v>
      </c>
      <c r="F562" s="203">
        <v>6</v>
      </c>
      <c r="G562" s="203" t="str">
        <f>VLOOKUP(D562,Fontes!$A$6:$L$11629,3,FALSE)</f>
        <v>un</v>
      </c>
      <c r="H562" s="203">
        <v>423.14</v>
      </c>
      <c r="I562" s="203">
        <v>41.730000000000018</v>
      </c>
      <c r="J562" s="203">
        <v>0</v>
      </c>
      <c r="K562" s="316">
        <f t="shared" si="197"/>
        <v>464.87</v>
      </c>
      <c r="L562" s="317">
        <f t="shared" si="198"/>
        <v>2789.22</v>
      </c>
      <c r="M562" s="318">
        <f t="shared" si="192"/>
        <v>1.0101027696147922E-4</v>
      </c>
    </row>
    <row r="563" spans="2:13" s="313" customFormat="1" ht="36" x14ac:dyDescent="0.2">
      <c r="B563" s="314" t="s">
        <v>901</v>
      </c>
      <c r="C563" s="315" t="str">
        <f>VLOOKUP(D563,Fontes!$A$6:$H$11629,8,FALSE)</f>
        <v>SBC / RJ</v>
      </c>
      <c r="D563" s="315">
        <v>190324</v>
      </c>
      <c r="E563" s="204" t="str">
        <f>VLOOKUP(D563,Fontes!$A$6:$H$11629,2,FALSE)</f>
        <v>Torneira automática de mesa para lavatório referência Docol Pressmatic Compact ou equivalente</v>
      </c>
      <c r="F563" s="203">
        <v>24</v>
      </c>
      <c r="G563" s="203" t="str">
        <f>VLOOKUP(D563,Fontes!$A$6:$L$11629,3,FALSE)</f>
        <v>un</v>
      </c>
      <c r="H563" s="203">
        <v>205</v>
      </c>
      <c r="I563" s="203">
        <v>18.379999999999995</v>
      </c>
      <c r="J563" s="203">
        <v>0</v>
      </c>
      <c r="K563" s="316">
        <f t="shared" si="197"/>
        <v>223.38</v>
      </c>
      <c r="L563" s="317">
        <f t="shared" si="198"/>
        <v>5361.12</v>
      </c>
      <c r="M563" s="318">
        <f t="shared" si="192"/>
        <v>1.9415041338572271E-4</v>
      </c>
    </row>
    <row r="564" spans="2:13" s="313" customFormat="1" ht="36" x14ac:dyDescent="0.2">
      <c r="B564" s="314" t="s">
        <v>902</v>
      </c>
      <c r="C564" s="315" t="str">
        <f>VLOOKUP(D564,Fontes!$A$6:$H$11629,8,FALSE)</f>
        <v>SBC / RJ</v>
      </c>
      <c r="D564" s="315">
        <v>190323</v>
      </c>
      <c r="E564" s="204" t="str">
        <f>VLOOKUP(D564,Fontes!$A$6:$H$11629,2,FALSE)</f>
        <v>Torneira de mesa bica alta para cozinha referência Deca Izy ou equivalente</v>
      </c>
      <c r="F564" s="203">
        <v>5</v>
      </c>
      <c r="G564" s="203" t="str">
        <f>VLOOKUP(D564,Fontes!$A$6:$L$11629,3,FALSE)</f>
        <v>un</v>
      </c>
      <c r="H564" s="203">
        <v>425.77</v>
      </c>
      <c r="I564" s="203">
        <v>18.379999999999995</v>
      </c>
      <c r="J564" s="203">
        <v>0</v>
      </c>
      <c r="K564" s="316">
        <f t="shared" si="197"/>
        <v>444.15</v>
      </c>
      <c r="L564" s="317">
        <f t="shared" si="198"/>
        <v>2220.75</v>
      </c>
      <c r="M564" s="318">
        <f t="shared" si="192"/>
        <v>8.0423406028282094E-5</v>
      </c>
    </row>
    <row r="565" spans="2:13" s="313" customFormat="1" ht="18" x14ac:dyDescent="0.2">
      <c r="B565" s="314" t="s">
        <v>903</v>
      </c>
      <c r="C565" s="315" t="str">
        <f>VLOOKUP(D565,Fontes!$A$6:$H$11629,8,FALSE)</f>
        <v>SINAPI / RJ</v>
      </c>
      <c r="D565" s="315">
        <v>86914</v>
      </c>
      <c r="E565" s="204" t="str">
        <f>VLOOKUP(D565,Fontes!$A$6:$H$11629,2,FALSE)</f>
        <v>Torneira cromada 1/2 ou 3/4 para tanque</v>
      </c>
      <c r="F565" s="203">
        <v>3</v>
      </c>
      <c r="G565" s="203" t="str">
        <f>VLOOKUP(D565,Fontes!$A$6:$L$11629,3,FALSE)</f>
        <v>un</v>
      </c>
      <c r="H565" s="203">
        <v>110.15143390357699</v>
      </c>
      <c r="I565" s="203">
        <v>7.6585660964230176</v>
      </c>
      <c r="J565" s="203">
        <v>0</v>
      </c>
      <c r="K565" s="316">
        <f t="shared" si="197"/>
        <v>117.81</v>
      </c>
      <c r="L565" s="317">
        <f t="shared" si="198"/>
        <v>353.43</v>
      </c>
      <c r="M565" s="318">
        <f t="shared" si="192"/>
        <v>1.2799299512586173E-5</v>
      </c>
    </row>
    <row r="566" spans="2:13" s="313" customFormat="1" ht="36" x14ac:dyDescent="0.2">
      <c r="B566" s="314" t="s">
        <v>904</v>
      </c>
      <c r="C566" s="315" t="str">
        <f>VLOOKUP(D566,Fontes!$A$6:$H$11629,8,FALSE)</f>
        <v>SINAPI / RJ</v>
      </c>
      <c r="D566" s="315">
        <v>100867</v>
      </c>
      <c r="E566" s="204" t="str">
        <f>VLOOKUP(D566,Fontes!$A$6:$H$11629,2,FALSE)</f>
        <v>Barra de apoio reta, em aco inox polido, comprimento 70 cm,  fixada na parede</v>
      </c>
      <c r="F566" s="203">
        <v>18</v>
      </c>
      <c r="G566" s="203" t="str">
        <f>VLOOKUP(D566,Fontes!$A$6:$L$11629,3,FALSE)</f>
        <v>un</v>
      </c>
      <c r="H566" s="203">
        <v>265.73757123516259</v>
      </c>
      <c r="I566" s="203">
        <v>23.802428764837376</v>
      </c>
      <c r="J566" s="203">
        <v>0</v>
      </c>
      <c r="K566" s="316">
        <f>ROUND(+H566+I566+J566,2)</f>
        <v>289.54000000000002</v>
      </c>
      <c r="L566" s="317">
        <f>ROUND(F566*K566,2)</f>
        <v>5211.72</v>
      </c>
      <c r="M566" s="318">
        <f t="shared" si="192"/>
        <v>1.8873996337530943E-4</v>
      </c>
    </row>
    <row r="567" spans="2:13" s="313" customFormat="1" ht="36" x14ac:dyDescent="0.2">
      <c r="B567" s="314" t="s">
        <v>905</v>
      </c>
      <c r="C567" s="315" t="str">
        <f>VLOOKUP(D567,Fontes!$A$6:$H$11629,8,FALSE)</f>
        <v>SINAPI / RJ</v>
      </c>
      <c r="D567" s="315">
        <v>100868</v>
      </c>
      <c r="E567" s="204" t="str">
        <f>VLOOKUP(D567,Fontes!$A$6:$H$11629,2,FALSE)</f>
        <v>Barra de apoio reta, em aco inox polido, comprimento 80 cm,  fixada na parede</v>
      </c>
      <c r="F567" s="203">
        <v>12</v>
      </c>
      <c r="G567" s="203" t="str">
        <f>VLOOKUP(D567,Fontes!$A$6:$L$11629,3,FALSE)</f>
        <v>un</v>
      </c>
      <c r="H567" s="203">
        <v>273.43132797948027</v>
      </c>
      <c r="I567" s="203">
        <v>23.688672020519711</v>
      </c>
      <c r="J567" s="203">
        <v>0</v>
      </c>
      <c r="K567" s="316">
        <f t="shared" si="197"/>
        <v>297.12</v>
      </c>
      <c r="L567" s="317">
        <f t="shared" si="198"/>
        <v>3565.44</v>
      </c>
      <c r="M567" s="318">
        <f t="shared" si="192"/>
        <v>1.2912071542923702E-4</v>
      </c>
    </row>
    <row r="568" spans="2:13" s="313" customFormat="1" ht="36" x14ac:dyDescent="0.2">
      <c r="B568" s="314" t="s">
        <v>906</v>
      </c>
      <c r="C568" s="315" t="str">
        <f>VLOOKUP(D568,Fontes!$A$6:$H$11629,8,FALSE)</f>
        <v>SBC / RJ</v>
      </c>
      <c r="D568" s="315">
        <v>190085</v>
      </c>
      <c r="E568" s="204" t="str">
        <f>VLOOKUP(D568,Fontes!$A$6:$H$11629,2,FALSE)</f>
        <v>Cabide cromado referência Deca Flex 2060.C.FLX ou equivalente</v>
      </c>
      <c r="F568" s="203">
        <v>21</v>
      </c>
      <c r="G568" s="203" t="str">
        <f>VLOOKUP(D568,Fontes!$A$6:$L$11629,3,FALSE)</f>
        <v>un</v>
      </c>
      <c r="H568" s="203">
        <v>121.9</v>
      </c>
      <c r="I568" s="203">
        <v>28.03</v>
      </c>
      <c r="J568" s="203">
        <v>0</v>
      </c>
      <c r="K568" s="316">
        <f t="shared" si="197"/>
        <v>149.93</v>
      </c>
      <c r="L568" s="317">
        <f t="shared" si="198"/>
        <v>3148.53</v>
      </c>
      <c r="M568" s="318">
        <f t="shared" si="192"/>
        <v>1.1402251788009773E-4</v>
      </c>
    </row>
    <row r="569" spans="2:13" s="313" customFormat="1" ht="36" x14ac:dyDescent="0.2">
      <c r="B569" s="314" t="s">
        <v>907</v>
      </c>
      <c r="C569" s="315" t="str">
        <f>VLOOKUP(D569,Fontes!$A$6:$H$11629,8,FALSE)</f>
        <v>SINAPI / RJ</v>
      </c>
      <c r="D569" s="315">
        <v>86877</v>
      </c>
      <c r="E569" s="204" t="str">
        <f>VLOOKUP(D569,Fontes!$A$6:$H$11629,2,FALSE)</f>
        <v>Válvula em metal cromado 1.1/2 x 1.1/2 para tanque ou lavatório, com ou sem ladrão</v>
      </c>
      <c r="F569" s="203">
        <v>9</v>
      </c>
      <c r="G569" s="203" t="str">
        <f>VLOOKUP(D569,Fontes!$A$6:$L$11629,3,FALSE)</f>
        <v>un</v>
      </c>
      <c r="H569" s="203">
        <v>72.478099762470308</v>
      </c>
      <c r="I569" s="203">
        <v>5.921900237529691</v>
      </c>
      <c r="J569" s="203">
        <v>0</v>
      </c>
      <c r="K569" s="316">
        <f t="shared" ref="K569:K571" si="201">ROUND(+H569+I569+J569,2)</f>
        <v>78.400000000000006</v>
      </c>
      <c r="L569" s="317">
        <f t="shared" ref="L569:L571" si="202">ROUND(F569*K569,2)</f>
        <v>705.6</v>
      </c>
      <c r="M569" s="318">
        <f t="shared" si="192"/>
        <v>2.5552968723879703E-5</v>
      </c>
    </row>
    <row r="570" spans="2:13" s="313" customFormat="1" ht="18" x14ac:dyDescent="0.2">
      <c r="B570" s="314" t="s">
        <v>908</v>
      </c>
      <c r="C570" s="315" t="str">
        <f>VLOOKUP(D570,Fontes!$A$6:$H$11629,8,FALSE)</f>
        <v>SINAPI / RJ</v>
      </c>
      <c r="D570" s="315">
        <v>86881</v>
      </c>
      <c r="E570" s="204" t="str">
        <f>VLOOKUP(D570,Fontes!$A$6:$H$11629,2,FALSE)</f>
        <v>Sifão do tipo garrafa em metal cromado 1 x 1.1/2</v>
      </c>
      <c r="F570" s="203">
        <f>F569</f>
        <v>9</v>
      </c>
      <c r="G570" s="203" t="str">
        <f>VLOOKUP(D570,Fontes!$A$6:$L$11629,3,FALSE)</f>
        <v>un</v>
      </c>
      <c r="H570" s="203">
        <v>226.27230955387208</v>
      </c>
      <c r="I570" s="203">
        <v>9.3076904461279462</v>
      </c>
      <c r="J570" s="203">
        <v>0</v>
      </c>
      <c r="K570" s="316">
        <f t="shared" si="201"/>
        <v>235.58</v>
      </c>
      <c r="L570" s="317">
        <f t="shared" si="202"/>
        <v>2120.2199999999998</v>
      </c>
      <c r="M570" s="318">
        <f t="shared" si="192"/>
        <v>7.6782759846576268E-5</v>
      </c>
    </row>
    <row r="571" spans="2:13" s="313" customFormat="1" ht="18" x14ac:dyDescent="0.2">
      <c r="B571" s="314" t="s">
        <v>2035</v>
      </c>
      <c r="C571" s="315" t="str">
        <f>VLOOKUP(D571,Fontes!$A$6:$H$11629,8,FALSE)</f>
        <v>SINAPI / RJ</v>
      </c>
      <c r="D571" s="315">
        <v>86887</v>
      </c>
      <c r="E571" s="204" t="str">
        <f>VLOOKUP(D571,Fontes!$A$6:$H$11629,2,FALSE)</f>
        <v>Engate flexível em inox, 1/2  x 40cm</v>
      </c>
      <c r="F571" s="203">
        <f>F553+F554+F559</f>
        <v>29</v>
      </c>
      <c r="G571" s="203" t="str">
        <f>VLOOKUP(D571,Fontes!$A$6:$L$11629,3,FALSE)</f>
        <v>un</v>
      </c>
      <c r="H571" s="203">
        <v>57.83857592446892</v>
      </c>
      <c r="I571" s="203">
        <v>5.1814240755310781</v>
      </c>
      <c r="J571" s="203">
        <v>0</v>
      </c>
      <c r="K571" s="316">
        <f t="shared" si="201"/>
        <v>63.02</v>
      </c>
      <c r="L571" s="317">
        <f t="shared" si="202"/>
        <v>1827.58</v>
      </c>
      <c r="M571" s="318">
        <f t="shared" si="192"/>
        <v>6.6184941298735926E-5</v>
      </c>
    </row>
    <row r="572" spans="2:13" s="313" customFormat="1" ht="18" x14ac:dyDescent="0.2">
      <c r="B572" s="314" t="s">
        <v>2036</v>
      </c>
      <c r="C572" s="315"/>
      <c r="D572" s="315"/>
      <c r="E572" s="204" t="s">
        <v>481</v>
      </c>
      <c r="F572" s="203">
        <v>21</v>
      </c>
      <c r="G572" s="203"/>
      <c r="H572" s="203"/>
      <c r="I572" s="203"/>
      <c r="J572" s="203"/>
      <c r="K572" s="316"/>
      <c r="L572" s="317" t="s">
        <v>1896</v>
      </c>
      <c r="M572" s="318"/>
    </row>
    <row r="573" spans="2:13" s="313" customFormat="1" ht="18" x14ac:dyDescent="0.2">
      <c r="B573" s="314" t="s">
        <v>2037</v>
      </c>
      <c r="C573" s="315"/>
      <c r="D573" s="315"/>
      <c r="E573" s="204" t="s">
        <v>482</v>
      </c>
      <c r="F573" s="203">
        <v>18</v>
      </c>
      <c r="G573" s="203"/>
      <c r="H573" s="203"/>
      <c r="I573" s="203"/>
      <c r="J573" s="203"/>
      <c r="K573" s="316"/>
      <c r="L573" s="317" t="s">
        <v>1896</v>
      </c>
      <c r="M573" s="318"/>
    </row>
    <row r="574" spans="2:13" s="313" customFormat="1" ht="18" x14ac:dyDescent="0.2">
      <c r="B574" s="314" t="s">
        <v>2038</v>
      </c>
      <c r="C574" s="315"/>
      <c r="D574" s="315"/>
      <c r="E574" s="204" t="s">
        <v>483</v>
      </c>
      <c r="F574" s="203">
        <v>12</v>
      </c>
      <c r="G574" s="203"/>
      <c r="H574" s="203"/>
      <c r="I574" s="203"/>
      <c r="J574" s="203"/>
      <c r="K574" s="316"/>
      <c r="L574" s="317" t="s">
        <v>1896</v>
      </c>
      <c r="M574" s="318"/>
    </row>
    <row r="575" spans="2:13" s="109" customFormat="1" ht="18" x14ac:dyDescent="0.2">
      <c r="B575" s="114"/>
      <c r="C575" s="115"/>
      <c r="D575" s="115"/>
      <c r="E575" s="116"/>
      <c r="F575" s="117"/>
      <c r="G575" s="117"/>
      <c r="H575" s="117"/>
      <c r="I575" s="117"/>
      <c r="J575" s="117"/>
      <c r="K575" s="118"/>
      <c r="L575" s="119"/>
      <c r="M575" s="120">
        <f t="shared" ref="M575:M606" si="203">+L575/$L$851</f>
        <v>0</v>
      </c>
    </row>
    <row r="576" spans="2:13" s="109" customFormat="1" ht="25.5" customHeight="1" x14ac:dyDescent="0.2">
      <c r="B576" s="217" t="s">
        <v>909</v>
      </c>
      <c r="C576" s="218"/>
      <c r="D576" s="218"/>
      <c r="E576" s="311" t="s">
        <v>479</v>
      </c>
      <c r="F576" s="219"/>
      <c r="G576" s="220"/>
      <c r="H576" s="221"/>
      <c r="I576" s="221"/>
      <c r="J576" s="219"/>
      <c r="K576" s="219"/>
      <c r="L576" s="222">
        <f>SUBTOTAL(9,L577:L579)</f>
        <v>44567.37</v>
      </c>
      <c r="M576" s="223">
        <f t="shared" si="203"/>
        <v>1.6139861277148166E-3</v>
      </c>
    </row>
    <row r="577" spans="2:13" s="313" customFormat="1" ht="18" x14ac:dyDescent="0.2">
      <c r="B577" s="314" t="s">
        <v>910</v>
      </c>
      <c r="C577" s="315" t="str">
        <f>VLOOKUP(D577,Fontes!$A$6:$H$11629,8,FALSE)</f>
        <v>FACC</v>
      </c>
      <c r="D577" s="315" t="s">
        <v>1286</v>
      </c>
      <c r="E577" s="204" t="e">
        <f>VLOOKUP(D577,Fontes!$A$6:$H$11629,2,FALSE)</f>
        <v>#REF!</v>
      </c>
      <c r="F577" s="203">
        <v>6</v>
      </c>
      <c r="G577" s="203" t="e">
        <f>VLOOKUP(D577,Fontes!$A$6:$L$11629,3,FALSE)</f>
        <v>#REF!</v>
      </c>
      <c r="H577" s="203">
        <v>4131.84</v>
      </c>
      <c r="I577" s="203">
        <v>0</v>
      </c>
      <c r="J577" s="203">
        <v>0</v>
      </c>
      <c r="K577" s="316">
        <f t="shared" ref="K577:K578" si="204">ROUND(+H577+I577+J577,2)</f>
        <v>4131.84</v>
      </c>
      <c r="L577" s="317">
        <f t="shared" ref="L577:L578" si="205">ROUND(F577*K577,2)</f>
        <v>24791.040000000001</v>
      </c>
      <c r="M577" s="318">
        <f t="shared" si="203"/>
        <v>8.9779573377614895E-4</v>
      </c>
    </row>
    <row r="578" spans="2:13" s="313" customFormat="1" ht="18" x14ac:dyDescent="0.2">
      <c r="B578" s="314" t="s">
        <v>911</v>
      </c>
      <c r="C578" s="315" t="str">
        <f>VLOOKUP(D578,Fontes!$A$6:$H$11629,8,FALSE)</f>
        <v>FACC</v>
      </c>
      <c r="D578" s="315" t="s">
        <v>1287</v>
      </c>
      <c r="E578" s="204" t="e">
        <f>VLOOKUP(D578,Fontes!$A$6:$H$11629,2,FALSE)</f>
        <v>#REF!</v>
      </c>
      <c r="F578" s="203">
        <v>3</v>
      </c>
      <c r="G578" s="203" t="e">
        <f>VLOOKUP(D578,Fontes!$A$6:$L$11629,3,FALSE)</f>
        <v>#REF!</v>
      </c>
      <c r="H578" s="203">
        <v>3428.3999999999996</v>
      </c>
      <c r="I578" s="203">
        <v>0</v>
      </c>
      <c r="J578" s="203">
        <v>0</v>
      </c>
      <c r="K578" s="316">
        <f t="shared" si="204"/>
        <v>3428.4</v>
      </c>
      <c r="L578" s="317">
        <f t="shared" si="205"/>
        <v>10285.200000000001</v>
      </c>
      <c r="M578" s="318">
        <f t="shared" si="203"/>
        <v>3.7247363083736895E-4</v>
      </c>
    </row>
    <row r="579" spans="2:13" s="313" customFormat="1" ht="18" x14ac:dyDescent="0.2">
      <c r="B579" s="314" t="s">
        <v>2039</v>
      </c>
      <c r="C579" s="315" t="str">
        <f>VLOOKUP(D579,Fontes!$A$6:$H$11629,8,FALSE)</f>
        <v>FACC</v>
      </c>
      <c r="D579" s="315" t="s">
        <v>1288</v>
      </c>
      <c r="E579" s="204" t="e">
        <f>VLOOKUP(D579,Fontes!$A$6:$H$11629,2,FALSE)</f>
        <v>#REF!</v>
      </c>
      <c r="F579" s="203">
        <v>3</v>
      </c>
      <c r="G579" s="203" t="e">
        <f>VLOOKUP(D579,Fontes!$A$6:$L$11629,3,FALSE)</f>
        <v>#REF!</v>
      </c>
      <c r="H579" s="203">
        <v>3163.71</v>
      </c>
      <c r="I579" s="203">
        <v>0</v>
      </c>
      <c r="J579" s="203">
        <v>0</v>
      </c>
      <c r="K579" s="316">
        <f t="shared" ref="K579" si="206">ROUND(+H579+I579+J579,2)</f>
        <v>3163.71</v>
      </c>
      <c r="L579" s="317">
        <f t="shared" ref="L579" si="207">ROUND(F579*K579,2)</f>
        <v>9491.1299999999992</v>
      </c>
      <c r="M579" s="318">
        <f t="shared" si="203"/>
        <v>3.4371676310129866E-4</v>
      </c>
    </row>
    <row r="580" spans="2:13" s="109" customFormat="1" ht="18" x14ac:dyDescent="0.2">
      <c r="B580" s="114"/>
      <c r="C580" s="115"/>
      <c r="D580" s="115"/>
      <c r="E580" s="116"/>
      <c r="F580" s="117"/>
      <c r="G580" s="117"/>
      <c r="H580" s="117"/>
      <c r="I580" s="117"/>
      <c r="J580" s="117"/>
      <c r="K580" s="118"/>
      <c r="L580" s="119"/>
      <c r="M580" s="120">
        <f t="shared" si="203"/>
        <v>0</v>
      </c>
    </row>
    <row r="581" spans="2:13" s="109" customFormat="1" ht="25.5" customHeight="1" x14ac:dyDescent="0.2">
      <c r="B581" s="217" t="s">
        <v>912</v>
      </c>
      <c r="C581" s="218"/>
      <c r="D581" s="218"/>
      <c r="E581" s="311" t="s">
        <v>480</v>
      </c>
      <c r="F581" s="219"/>
      <c r="G581" s="220"/>
      <c r="H581" s="221"/>
      <c r="I581" s="221"/>
      <c r="J581" s="219"/>
      <c r="K581" s="219"/>
      <c r="L581" s="222">
        <f>SUBTOTAL(9,L582:L584)</f>
        <v>13688.18</v>
      </c>
      <c r="M581" s="223">
        <f t="shared" si="203"/>
        <v>4.9571093456184199E-4</v>
      </c>
    </row>
    <row r="582" spans="2:13" s="313" customFormat="1" ht="18" x14ac:dyDescent="0.2">
      <c r="B582" s="314" t="s">
        <v>913</v>
      </c>
      <c r="C582" s="315" t="str">
        <f>VLOOKUP(D582,Fontes!$A$6:$H$11629,8,FALSE)</f>
        <v>SBC / RJ</v>
      </c>
      <c r="D582" s="315">
        <v>150071</v>
      </c>
      <c r="E582" s="204" t="str">
        <f>VLOOKUP(D582,Fontes!$A$6:$H$11629,2,FALSE)</f>
        <v>Espelho cristal incolor 5mm aplicado em paredes</v>
      </c>
      <c r="F582" s="203">
        <v>16.2</v>
      </c>
      <c r="G582" s="203" t="str">
        <f>VLOOKUP(D582,Fontes!$A$6:$L$11629,3,FALSE)</f>
        <v>m2</v>
      </c>
      <c r="H582" s="203">
        <v>598.5</v>
      </c>
      <c r="I582" s="203">
        <v>38.990000000000009</v>
      </c>
      <c r="J582" s="203">
        <v>0</v>
      </c>
      <c r="K582" s="316">
        <f t="shared" ref="K582:K583" si="208">ROUND(+H582+I582+J582,2)</f>
        <v>637.49</v>
      </c>
      <c r="L582" s="317">
        <f t="shared" ref="L582:L583" si="209">ROUND(F582*K582,2)</f>
        <v>10327.34</v>
      </c>
      <c r="M582" s="318">
        <f t="shared" si="203"/>
        <v>3.7399971091393397E-4</v>
      </c>
    </row>
    <row r="583" spans="2:13" s="313" customFormat="1" ht="18" x14ac:dyDescent="0.2">
      <c r="B583" s="314" t="s">
        <v>2040</v>
      </c>
      <c r="C583" s="315" t="str">
        <f>VLOOKUP(D583,Fontes!$A$6:$H$11629,8,FALSE)</f>
        <v>SBC / RJ</v>
      </c>
      <c r="D583" s="315">
        <v>150232</v>
      </c>
      <c r="E583" s="204" t="str">
        <f>VLOOKUP(D583,Fontes!$A$6:$H$11629,2,FALSE)</f>
        <v>Espelho cristal incolor 5 mm com fixação inclinada</v>
      </c>
      <c r="F583" s="203">
        <v>6</v>
      </c>
      <c r="G583" s="203" t="str">
        <f>VLOOKUP(D583,Fontes!$A$6:$L$11629,3,FALSE)</f>
        <v>un</v>
      </c>
      <c r="H583" s="203">
        <v>519.96</v>
      </c>
      <c r="I583" s="203">
        <v>40.17999999999995</v>
      </c>
      <c r="J583" s="203">
        <v>0</v>
      </c>
      <c r="K583" s="316">
        <f t="shared" si="208"/>
        <v>560.14</v>
      </c>
      <c r="L583" s="317">
        <f t="shared" si="209"/>
        <v>3360.84</v>
      </c>
      <c r="M583" s="318">
        <f t="shared" si="203"/>
        <v>1.2171122364790797E-4</v>
      </c>
    </row>
    <row r="584" spans="2:13" s="109" customFormat="1" ht="18" x14ac:dyDescent="0.2">
      <c r="B584" s="114"/>
      <c r="C584" s="115"/>
      <c r="D584" s="115"/>
      <c r="E584" s="116"/>
      <c r="F584" s="117"/>
      <c r="G584" s="117"/>
      <c r="H584" s="117"/>
      <c r="I584" s="117"/>
      <c r="J584" s="117"/>
      <c r="K584" s="118"/>
      <c r="L584" s="119"/>
      <c r="M584" s="120">
        <f t="shared" si="203"/>
        <v>0</v>
      </c>
    </row>
    <row r="585" spans="2:13" s="109" customFormat="1" ht="18" x14ac:dyDescent="0.2">
      <c r="B585" s="114"/>
      <c r="C585" s="115"/>
      <c r="D585" s="115"/>
      <c r="E585" s="116"/>
      <c r="F585" s="117"/>
      <c r="G585" s="117"/>
      <c r="H585" s="117"/>
      <c r="I585" s="117"/>
      <c r="J585" s="117"/>
      <c r="K585" s="118"/>
      <c r="L585" s="119"/>
      <c r="M585" s="120">
        <f t="shared" si="203"/>
        <v>0</v>
      </c>
    </row>
    <row r="586" spans="2:13" s="109" customFormat="1" ht="25.5" customHeight="1" x14ac:dyDescent="0.2">
      <c r="B586" s="206">
        <v>14</v>
      </c>
      <c r="C586" s="207"/>
      <c r="D586" s="207"/>
      <c r="E586" s="309" t="s">
        <v>484</v>
      </c>
      <c r="F586" s="209"/>
      <c r="G586" s="205"/>
      <c r="H586" s="210"/>
      <c r="I586" s="210"/>
      <c r="J586" s="209"/>
      <c r="K586" s="209"/>
      <c r="L586" s="211">
        <f>SUBTOTAL(9,L587:L694)</f>
        <v>3300067.4400000009</v>
      </c>
      <c r="M586" s="212">
        <f t="shared" si="203"/>
        <v>0.11951037426447531</v>
      </c>
    </row>
    <row r="587" spans="2:13" s="109" customFormat="1" ht="25.5" customHeight="1" x14ac:dyDescent="0.2">
      <c r="B587" s="217" t="s">
        <v>914</v>
      </c>
      <c r="C587" s="218"/>
      <c r="D587" s="218"/>
      <c r="E587" s="311" t="s">
        <v>497</v>
      </c>
      <c r="F587" s="219"/>
      <c r="G587" s="220"/>
      <c r="H587" s="221"/>
      <c r="I587" s="221"/>
      <c r="J587" s="219"/>
      <c r="K587" s="219"/>
      <c r="L587" s="222">
        <f>SUBTOTAL(9,L588:L597)</f>
        <v>365527</v>
      </c>
      <c r="M587" s="223">
        <f t="shared" si="203"/>
        <v>1.3237386619520375E-2</v>
      </c>
    </row>
    <row r="588" spans="2:13" s="313" customFormat="1" ht="54" x14ac:dyDescent="0.2">
      <c r="B588" s="314" t="s">
        <v>915</v>
      </c>
      <c r="C588" s="315" t="str">
        <f>VLOOKUP(D588,Fontes!$A$6:$H$11629,8,FALSE)</f>
        <v>Custo Mercado Reajustado</v>
      </c>
      <c r="D588" s="315" t="s">
        <v>1477</v>
      </c>
      <c r="E588" s="204" t="str">
        <f>VLOOKUP(D588,Fontes!$A$6:$H$11629,2,FALSE)</f>
        <v>Rede frigorigena com tubos de cobre de 1.1/2" sem costura, isolamento térmico, abraçadeiras, limpeza do sistema com nitrogênio, carga de gás R-410A</v>
      </c>
      <c r="F588" s="203">
        <v>150</v>
      </c>
      <c r="G588" s="203" t="str">
        <f>VLOOKUP(D588,Fontes!$A$6:$L$11629,3,FALSE)</f>
        <v>m</v>
      </c>
      <c r="H588" s="203">
        <v>417.17472669055934</v>
      </c>
      <c r="I588" s="203">
        <v>333.41763870635441</v>
      </c>
      <c r="J588" s="203">
        <v>0</v>
      </c>
      <c r="K588" s="316">
        <f t="shared" ref="K588:K597" si="210">ROUND(+H588+I588+J588,2)</f>
        <v>750.59</v>
      </c>
      <c r="L588" s="317">
        <f t="shared" ref="L588:L597" si="211">ROUND(F588*K588,2)</f>
        <v>112588.5</v>
      </c>
      <c r="M588" s="318">
        <f t="shared" si="203"/>
        <v>4.0773390294338574E-3</v>
      </c>
    </row>
    <row r="589" spans="2:13" s="313" customFormat="1" ht="54" x14ac:dyDescent="0.2">
      <c r="B589" s="314" t="s">
        <v>916</v>
      </c>
      <c r="C589" s="315" t="str">
        <f>VLOOKUP(D589,Fontes!$A$6:$H$11629,8,FALSE)</f>
        <v>Custo Mercado Reajustado</v>
      </c>
      <c r="D589" s="315" t="s">
        <v>1478</v>
      </c>
      <c r="E589" s="204" t="str">
        <f>VLOOKUP(D589,Fontes!$A$6:$H$11629,2,FALSE)</f>
        <v>Rede frigorigena com tubos de cobre de 1 1/4" sem costura, isolamento térmico, abraçadeiras, limpeza do sistema com nitrogênio, carga de gás R-410A</v>
      </c>
      <c r="F589" s="203">
        <v>70</v>
      </c>
      <c r="G589" s="203" t="str">
        <f>VLOOKUP(D589,Fontes!$A$6:$L$11629,3,FALSE)</f>
        <v>m</v>
      </c>
      <c r="H589" s="203">
        <v>336.63906516728542</v>
      </c>
      <c r="I589" s="203">
        <v>268.98910948773516</v>
      </c>
      <c r="J589" s="203">
        <v>0</v>
      </c>
      <c r="K589" s="316">
        <f t="shared" si="210"/>
        <v>605.63</v>
      </c>
      <c r="L589" s="317">
        <f t="shared" si="211"/>
        <v>42394.1</v>
      </c>
      <c r="M589" s="318">
        <f t="shared" si="203"/>
        <v>1.5352821873257207E-3</v>
      </c>
    </row>
    <row r="590" spans="2:13" s="313" customFormat="1" ht="54" x14ac:dyDescent="0.2">
      <c r="B590" s="314" t="s">
        <v>917</v>
      </c>
      <c r="C590" s="315" t="str">
        <f>VLOOKUP(D590,Fontes!$A$6:$H$11629,8,FALSE)</f>
        <v>Custo Mercado Reajustado</v>
      </c>
      <c r="D590" s="315" t="s">
        <v>1479</v>
      </c>
      <c r="E590" s="204" t="str">
        <f>VLOOKUP(D590,Fontes!$A$6:$H$11629,2,FALSE)</f>
        <v>Rede frigorigena com tubos de cobre de 1 1/8" sem costura, isolamento térmico, abraçadeiras, limpeza do sistema com nitrogênio, carga de gás R-410A</v>
      </c>
      <c r="F590" s="203">
        <v>75</v>
      </c>
      <c r="G590" s="203" t="str">
        <f>VLOOKUP(D590,Fontes!$A$6:$L$11629,3,FALSE)</f>
        <v>m</v>
      </c>
      <c r="H590" s="203">
        <v>286.70695502285548</v>
      </c>
      <c r="I590" s="203">
        <v>228.72127872609821</v>
      </c>
      <c r="J590" s="203">
        <v>0</v>
      </c>
      <c r="K590" s="316">
        <f t="shared" si="210"/>
        <v>515.42999999999995</v>
      </c>
      <c r="L590" s="317">
        <f t="shared" si="211"/>
        <v>38657.25</v>
      </c>
      <c r="M590" s="318">
        <f t="shared" si="203"/>
        <v>1.3999539401944425E-3</v>
      </c>
    </row>
    <row r="591" spans="2:13" s="313" customFormat="1" ht="54" x14ac:dyDescent="0.2">
      <c r="B591" s="314" t="s">
        <v>918</v>
      </c>
      <c r="C591" s="315" t="str">
        <f>VLOOKUP(D591,Fontes!$A$6:$H$11629,8,FALSE)</f>
        <v>Custo Mercado Reajustado</v>
      </c>
      <c r="D591" s="315" t="s">
        <v>1480</v>
      </c>
      <c r="E591" s="204" t="str">
        <f>VLOOKUP(D591,Fontes!$A$6:$H$11629,2,FALSE)</f>
        <v>Rede frigorigena com tubos de cobre de 1" sem costura, isolamento térmico, abraçadeiras, limpeza do sistema com nitrogênio, carga de gás R-410A</v>
      </c>
      <c r="F591" s="203">
        <v>80</v>
      </c>
      <c r="G591" s="203" t="str">
        <f>VLOOKUP(D591,Fontes!$A$6:$L$11629,3,FALSE)</f>
        <v>m</v>
      </c>
      <c r="H591" s="203">
        <v>144.96419074189322</v>
      </c>
      <c r="I591" s="203">
        <v>115.97135259351457</v>
      </c>
      <c r="J591" s="203">
        <v>0</v>
      </c>
      <c r="K591" s="316">
        <f t="shared" si="210"/>
        <v>260.94</v>
      </c>
      <c r="L591" s="317">
        <f t="shared" si="211"/>
        <v>20875.2</v>
      </c>
      <c r="M591" s="318">
        <f t="shared" si="203"/>
        <v>7.559854488445771E-4</v>
      </c>
    </row>
    <row r="592" spans="2:13" s="313" customFormat="1" ht="54" x14ac:dyDescent="0.2">
      <c r="B592" s="314" t="s">
        <v>919</v>
      </c>
      <c r="C592" s="315" t="str">
        <f>VLOOKUP(D592,Fontes!$A$6:$H$11629,8,FALSE)</f>
        <v>Custo Mercado Reajustado</v>
      </c>
      <c r="D592" s="315" t="s">
        <v>1481</v>
      </c>
      <c r="E592" s="204" t="str">
        <f>VLOOKUP(D592,Fontes!$A$6:$H$11629,2,FALSE)</f>
        <v>Rede frigorigena com tubos de cobre de 7/8" sem costura, isolamento térmico, abraçadeiras, limpeza do sistema com nitrogênio, carga de gás R-410A</v>
      </c>
      <c r="F592" s="203">
        <v>105</v>
      </c>
      <c r="G592" s="203" t="str">
        <f>VLOOKUP(D592,Fontes!$A$6:$L$11629,3,FALSE)</f>
        <v>m</v>
      </c>
      <c r="H592" s="203">
        <v>124.02491874584199</v>
      </c>
      <c r="I592" s="203">
        <v>98.253507058394277</v>
      </c>
      <c r="J592" s="203">
        <v>0</v>
      </c>
      <c r="K592" s="316">
        <f t="shared" si="210"/>
        <v>222.28</v>
      </c>
      <c r="L592" s="317">
        <f t="shared" si="211"/>
        <v>23339.4</v>
      </c>
      <c r="M592" s="318">
        <f t="shared" si="203"/>
        <v>8.4522528094404473E-4</v>
      </c>
    </row>
    <row r="593" spans="2:13" s="313" customFormat="1" ht="54" x14ac:dyDescent="0.2">
      <c r="B593" s="314" t="s">
        <v>920</v>
      </c>
      <c r="C593" s="315" t="str">
        <f>VLOOKUP(D593,Fontes!$A$6:$H$11629,8,FALSE)</f>
        <v>Custo Mercado Reajustado</v>
      </c>
      <c r="D593" s="315" t="s">
        <v>1482</v>
      </c>
      <c r="E593" s="204" t="str">
        <f>VLOOKUP(D593,Fontes!$A$6:$H$11629,2,FALSE)</f>
        <v>Rede frigorigena com tubos de cobre de 3/4" sem costura, isolamento térmico, abraçadeiras, limpeza do sistema com nitrogênio, carga de gás R-410A</v>
      </c>
      <c r="F593" s="203">
        <v>190</v>
      </c>
      <c r="G593" s="203" t="str">
        <f>VLOOKUP(D593,Fontes!$A$6:$L$11629,3,FALSE)</f>
        <v>m</v>
      </c>
      <c r="H593" s="203">
        <v>106.3070732107217</v>
      </c>
      <c r="I593" s="203">
        <v>85.36780121467045</v>
      </c>
      <c r="J593" s="203">
        <v>0</v>
      </c>
      <c r="K593" s="316">
        <f t="shared" si="210"/>
        <v>191.67</v>
      </c>
      <c r="L593" s="317">
        <f t="shared" si="211"/>
        <v>36417.300000000003</v>
      </c>
      <c r="M593" s="318">
        <f t="shared" si="203"/>
        <v>1.3188352152893202E-3</v>
      </c>
    </row>
    <row r="594" spans="2:13" s="313" customFormat="1" ht="54" x14ac:dyDescent="0.2">
      <c r="B594" s="314" t="s">
        <v>921</v>
      </c>
      <c r="C594" s="315" t="str">
        <f>VLOOKUP(D594,Fontes!$A$6:$H$11629,8,FALSE)</f>
        <v>Custo Mercado Reajustado</v>
      </c>
      <c r="D594" s="315" t="s">
        <v>1483</v>
      </c>
      <c r="E594" s="204" t="str">
        <f>VLOOKUP(D594,Fontes!$A$6:$H$11629,2,FALSE)</f>
        <v>Rede frigorigena com tubos de cobre de 5/8" sem costura, isolamento térmico, abraçadeiras, limpeza do sistema com nitrogênio, carga de gás R-410A</v>
      </c>
      <c r="F594" s="203">
        <v>250</v>
      </c>
      <c r="G594" s="203" t="str">
        <f>VLOOKUP(D594,Fontes!$A$6:$L$11629,3,FALSE)</f>
        <v>m</v>
      </c>
      <c r="H594" s="203">
        <v>88.589227675601393</v>
      </c>
      <c r="I594" s="203">
        <v>70.871382140481117</v>
      </c>
      <c r="J594" s="203">
        <v>0</v>
      </c>
      <c r="K594" s="316">
        <f t="shared" si="210"/>
        <v>159.46</v>
      </c>
      <c r="L594" s="317">
        <f t="shared" si="211"/>
        <v>39865</v>
      </c>
      <c r="M594" s="318">
        <f t="shared" si="203"/>
        <v>1.4436920325644337E-3</v>
      </c>
    </row>
    <row r="595" spans="2:13" s="313" customFormat="1" ht="54" x14ac:dyDescent="0.2">
      <c r="B595" s="314" t="s">
        <v>922</v>
      </c>
      <c r="C595" s="315" t="str">
        <f>VLOOKUP(D595,Fontes!$A$6:$H$11629,8,FALSE)</f>
        <v>Custo Mercado Reajustado</v>
      </c>
      <c r="D595" s="315" t="s">
        <v>1484</v>
      </c>
      <c r="E595" s="204" t="str">
        <f>VLOOKUP(D595,Fontes!$A$6:$H$11629,2,FALSE)</f>
        <v>Rede frigorigena com tubos de cobre de 1/2", isolamento térmico, abraçadeiras, limpeza do sistema com nitrogênio, carga de gás R-410A</v>
      </c>
      <c r="F595" s="203">
        <v>165</v>
      </c>
      <c r="G595" s="203" t="str">
        <f>VLOOKUP(D595,Fontes!$A$6:$L$11629,3,FALSE)</f>
        <v>m</v>
      </c>
      <c r="H595" s="203">
        <v>70.871382140481117</v>
      </c>
      <c r="I595" s="203">
        <v>56.374963066291805</v>
      </c>
      <c r="J595" s="203">
        <v>0</v>
      </c>
      <c r="K595" s="316">
        <f t="shared" si="210"/>
        <v>127.25</v>
      </c>
      <c r="L595" s="317">
        <f t="shared" si="211"/>
        <v>20996.25</v>
      </c>
      <c r="M595" s="318">
        <f t="shared" si="203"/>
        <v>7.6036921707590586E-4</v>
      </c>
    </row>
    <row r="596" spans="2:13" s="313" customFormat="1" ht="54" x14ac:dyDescent="0.2">
      <c r="B596" s="314" t="s">
        <v>923</v>
      </c>
      <c r="C596" s="315" t="str">
        <f>VLOOKUP(D596,Fontes!$A$6:$H$11629,8,FALSE)</f>
        <v>Custo Mercado Reajustado</v>
      </c>
      <c r="D596" s="315" t="s">
        <v>1485</v>
      </c>
      <c r="E596" s="204" t="str">
        <f>VLOOKUP(D596,Fontes!$A$6:$H$11629,2,FALSE)</f>
        <v>Rede frigorigena com tubos de cobre de 3/8" sem costura, isolamento térmico, abraçadeiras, limpeza do sistema com nitrogênio, carga de gás R-410A</v>
      </c>
      <c r="F596" s="203">
        <v>310</v>
      </c>
      <c r="G596" s="203" t="str">
        <f>VLOOKUP(D596,Fontes!$A$6:$L$11629,3,FALSE)</f>
        <v>m</v>
      </c>
      <c r="H596" s="203">
        <v>51.542823374895363</v>
      </c>
      <c r="I596" s="203">
        <v>40.267830761637001</v>
      </c>
      <c r="J596" s="203">
        <v>0</v>
      </c>
      <c r="K596" s="316">
        <f t="shared" si="210"/>
        <v>91.81</v>
      </c>
      <c r="L596" s="317">
        <f t="shared" si="211"/>
        <v>28461.1</v>
      </c>
      <c r="M596" s="318">
        <f t="shared" si="203"/>
        <v>1.0307052127936686E-3</v>
      </c>
    </row>
    <row r="597" spans="2:13" s="313" customFormat="1" ht="54" x14ac:dyDescent="0.2">
      <c r="B597" s="314" t="s">
        <v>924</v>
      </c>
      <c r="C597" s="315" t="str">
        <f>VLOOKUP(D597,Fontes!$A$6:$H$11629,8,FALSE)</f>
        <v>Custo Mercado Reajustado</v>
      </c>
      <c r="D597" s="315" t="s">
        <v>1486</v>
      </c>
      <c r="E597" s="204" t="str">
        <f>VLOOKUP(D597,Fontes!$A$6:$H$11629,2,FALSE)</f>
        <v>Rede frigorigena com tubos de cobre de 1/4" sem costura, isolamento térmico, abraçadeiras, limpeza do sistema com nitrogênio, carga de gás R-410A</v>
      </c>
      <c r="F597" s="203">
        <v>30</v>
      </c>
      <c r="G597" s="203" t="str">
        <f>VLOOKUP(D597,Fontes!$A$6:$L$11629,3,FALSE)</f>
        <v>m</v>
      </c>
      <c r="H597" s="203">
        <v>35.435691070240566</v>
      </c>
      <c r="I597" s="203">
        <v>28.992838148378642</v>
      </c>
      <c r="J597" s="203">
        <v>0</v>
      </c>
      <c r="K597" s="316">
        <f t="shared" si="210"/>
        <v>64.430000000000007</v>
      </c>
      <c r="L597" s="317">
        <f t="shared" si="211"/>
        <v>1932.9</v>
      </c>
      <c r="M597" s="318">
        <f t="shared" si="203"/>
        <v>6.9999055054403451E-5</v>
      </c>
    </row>
    <row r="598" spans="2:13" s="109" customFormat="1" ht="18" x14ac:dyDescent="0.2">
      <c r="B598" s="114"/>
      <c r="C598" s="115"/>
      <c r="D598" s="115"/>
      <c r="E598" s="116"/>
      <c r="F598" s="117"/>
      <c r="G598" s="117"/>
      <c r="H598" s="117"/>
      <c r="I598" s="117"/>
      <c r="J598" s="117"/>
      <c r="K598" s="118"/>
      <c r="L598" s="119"/>
      <c r="M598" s="120">
        <f t="shared" si="203"/>
        <v>0</v>
      </c>
    </row>
    <row r="599" spans="2:13" s="109" customFormat="1" ht="25.5" customHeight="1" x14ac:dyDescent="0.2">
      <c r="B599" s="217" t="s">
        <v>925</v>
      </c>
      <c r="C599" s="218"/>
      <c r="D599" s="218"/>
      <c r="E599" s="311" t="s">
        <v>485</v>
      </c>
      <c r="F599" s="219"/>
      <c r="G599" s="220"/>
      <c r="H599" s="221"/>
      <c r="I599" s="221"/>
      <c r="J599" s="219"/>
      <c r="K599" s="219"/>
      <c r="L599" s="222">
        <f>SUBTOTAL(9,L600:L609)</f>
        <v>47849.41</v>
      </c>
      <c r="M599" s="223">
        <f t="shared" si="203"/>
        <v>1.7328436468056927E-3</v>
      </c>
    </row>
    <row r="600" spans="2:13" s="313" customFormat="1" ht="54" x14ac:dyDescent="0.2">
      <c r="B600" s="314" t="s">
        <v>926</v>
      </c>
      <c r="C600" s="315" t="str">
        <f>VLOOKUP(D600,Fontes!$A$6:$H$11629,8,FALSE)</f>
        <v>Custo Mercado Reajustado</v>
      </c>
      <c r="D600" s="315" t="s">
        <v>1487</v>
      </c>
      <c r="E600" s="204" t="str">
        <f>VLOOKUP(D600,Fontes!$A$6:$H$11629,2,FALSE)</f>
        <v>Grelha de insuflamento ref.: VAT-DG 225 x 125 mm pintado na cor branco neve - Trox ou equivalente</v>
      </c>
      <c r="F600" s="203">
        <v>5</v>
      </c>
      <c r="G600" s="203" t="str">
        <f>VLOOKUP(D600,Fontes!$A$6:$L$11629,3,FALSE)</f>
        <v>un</v>
      </c>
      <c r="H600" s="203">
        <v>182.01059504259925</v>
      </c>
      <c r="I600" s="203">
        <v>144.96419074189319</v>
      </c>
      <c r="J600" s="203">
        <v>0</v>
      </c>
      <c r="K600" s="316">
        <f t="shared" ref="K600:K609" si="212">ROUND(+H600+I600+J600,2)</f>
        <v>326.97000000000003</v>
      </c>
      <c r="L600" s="317">
        <f t="shared" ref="L600:L609" si="213">ROUND(F600*K600,2)</f>
        <v>1634.85</v>
      </c>
      <c r="M600" s="318">
        <f t="shared" si="203"/>
        <v>5.9205315927203418E-5</v>
      </c>
    </row>
    <row r="601" spans="2:13" s="313" customFormat="1" ht="54" x14ac:dyDescent="0.2">
      <c r="B601" s="314" t="s">
        <v>927</v>
      </c>
      <c r="C601" s="315" t="str">
        <f>VLOOKUP(D601,Fontes!$A$6:$H$11629,8,FALSE)</f>
        <v>Custo Mercado Reajustado</v>
      </c>
      <c r="D601" s="315" t="s">
        <v>1488</v>
      </c>
      <c r="E601" s="204" t="str">
        <f>VLOOKUP(D601,Fontes!$A$6:$H$11629,2,FALSE)</f>
        <v>Grelha de insuflamento ref.: VAT-DG 425 x 165 mm pintado na cor branco neve - Trox ou equivalente</v>
      </c>
      <c r="F601" s="203">
        <v>1</v>
      </c>
      <c r="G601" s="203" t="str">
        <f>VLOOKUP(D601,Fontes!$A$6:$L$11629,3,FALSE)</f>
        <v>un</v>
      </c>
      <c r="H601" s="203">
        <v>301.20337409704479</v>
      </c>
      <c r="I601" s="203">
        <v>241.606984569822</v>
      </c>
      <c r="J601" s="203">
        <v>0</v>
      </c>
      <c r="K601" s="316">
        <f t="shared" si="212"/>
        <v>542.80999999999995</v>
      </c>
      <c r="L601" s="317">
        <f t="shared" si="213"/>
        <v>542.80999999999995</v>
      </c>
      <c r="M601" s="318">
        <f t="shared" si="203"/>
        <v>1.9657606225919983E-5</v>
      </c>
    </row>
    <row r="602" spans="2:13" s="313" customFormat="1" ht="54" x14ac:dyDescent="0.2">
      <c r="B602" s="314" t="s">
        <v>928</v>
      </c>
      <c r="C602" s="315" t="str">
        <f>VLOOKUP(D602,Fontes!$A$6:$H$11629,8,FALSE)</f>
        <v>Custo Mercado Reajustado</v>
      </c>
      <c r="D602" s="315" t="s">
        <v>1489</v>
      </c>
      <c r="E602" s="204" t="str">
        <f>VLOOKUP(D602,Fontes!$A$6:$H$11629,2,FALSE)</f>
        <v>Grelha de exaustão/retorno ref.: AR-AG 625 x 325 mm pintado na cor branco neve - Trox ou equivalente</v>
      </c>
      <c r="F602" s="203">
        <v>5</v>
      </c>
      <c r="G602" s="203" t="str">
        <f>VLOOKUP(D602,Fontes!$A$6:$L$11629,3,FALSE)</f>
        <v>un</v>
      </c>
      <c r="H602" s="203">
        <v>475.16040298731662</v>
      </c>
      <c r="I602" s="203">
        <v>380.12832238985328</v>
      </c>
      <c r="J602" s="203">
        <v>0</v>
      </c>
      <c r="K602" s="316">
        <f t="shared" si="212"/>
        <v>855.29</v>
      </c>
      <c r="L602" s="317">
        <f t="shared" si="213"/>
        <v>4276.45</v>
      </c>
      <c r="M602" s="318">
        <f t="shared" si="203"/>
        <v>1.5486960473247641E-4</v>
      </c>
    </row>
    <row r="603" spans="2:13" s="313" customFormat="1" ht="54" x14ac:dyDescent="0.2">
      <c r="B603" s="314" t="s">
        <v>929</v>
      </c>
      <c r="C603" s="315" t="str">
        <f>VLOOKUP(D603,Fontes!$A$6:$H$11629,8,FALSE)</f>
        <v>Custo Mercado Reajustado</v>
      </c>
      <c r="D603" s="315" t="s">
        <v>2181</v>
      </c>
      <c r="E603" s="204" t="str">
        <f>VLOOKUP(D603,Fontes!$A$6:$H$11629,2,FALSE)</f>
        <v>Grelha de exaustão/retorno ref.: ar-ag 625 x 425 mm pintado na cor branco neve - trox ou equivalente</v>
      </c>
      <c r="F603" s="203">
        <v>10</v>
      </c>
      <c r="G603" s="203" t="str">
        <f>VLOOKUP(D603,Fontes!$A$6:$L$11629,3,FALSE)</f>
        <v>un</v>
      </c>
      <c r="H603" s="203">
        <v>591.13175558083117</v>
      </c>
      <c r="I603" s="203">
        <v>447.77827806940343</v>
      </c>
      <c r="J603" s="203">
        <v>0</v>
      </c>
      <c r="K603" s="316">
        <f t="shared" ref="K603" si="214">ROUND(+H603+I603+J603,2)</f>
        <v>1038.9100000000001</v>
      </c>
      <c r="L603" s="317">
        <f t="shared" ref="L603" si="215">ROUND(F603*K603,2)</f>
        <v>10389.1</v>
      </c>
      <c r="M603" s="318">
        <f t="shared" si="203"/>
        <v>3.7623631996777017E-4</v>
      </c>
    </row>
    <row r="604" spans="2:13" s="313" customFormat="1" ht="54" x14ac:dyDescent="0.2">
      <c r="B604" s="314" t="s">
        <v>930</v>
      </c>
      <c r="C604" s="315" t="str">
        <f>VLOOKUP(D604,Fontes!$A$6:$H$11629,8,FALSE)</f>
        <v>Custo Mercado Reajustado</v>
      </c>
      <c r="D604" s="315" t="s">
        <v>1490</v>
      </c>
      <c r="E604" s="204" t="str">
        <f>VLOOKUP(D604,Fontes!$A$6:$H$11629,2,FALSE)</f>
        <v>Grelha de exaustão/retorno  ref.: AR-AG 1025 x 425 mm pintado na cor branco neve - Trox ou equivalente</v>
      </c>
      <c r="F604" s="203">
        <v>3</v>
      </c>
      <c r="G604" s="203" t="str">
        <f>VLOOKUP(D604,Fontes!$A$6:$L$11629,3,FALSE)</f>
        <v>un</v>
      </c>
      <c r="H604" s="203">
        <v>868.17443122089389</v>
      </c>
      <c r="I604" s="203">
        <v>694.21740233062189</v>
      </c>
      <c r="J604" s="203">
        <v>0</v>
      </c>
      <c r="K604" s="316">
        <f t="shared" si="212"/>
        <v>1562.39</v>
      </c>
      <c r="L604" s="317">
        <f t="shared" si="213"/>
        <v>4687.17</v>
      </c>
      <c r="M604" s="318">
        <f t="shared" si="203"/>
        <v>1.6974363437288439E-4</v>
      </c>
    </row>
    <row r="605" spans="2:13" s="313" customFormat="1" ht="54" x14ac:dyDescent="0.2">
      <c r="B605" s="314" t="s">
        <v>931</v>
      </c>
      <c r="C605" s="315" t="str">
        <f>VLOOKUP(D605,Fontes!$A$6:$H$11629,8,FALSE)</f>
        <v>Custo Mercado Reajustado</v>
      </c>
      <c r="D605" s="315" t="s">
        <v>1491</v>
      </c>
      <c r="E605" s="204" t="str">
        <f>VLOOKUP(D605,Fontes!$A$6:$H$11629,2,FALSE)</f>
        <v>Grelha de exaustão/retorno ref.: AR-AG 1025 x 525 mm pintado na cor branco neve - Trox ou equivalente ou equivalente</v>
      </c>
      <c r="F605" s="203">
        <v>4</v>
      </c>
      <c r="G605" s="203" t="str">
        <f>VLOOKUP(D605,Fontes!$A$6:$L$11629,3,FALSE)</f>
        <v>un</v>
      </c>
      <c r="H605" s="203">
        <v>1001.8636293495287</v>
      </c>
      <c r="I605" s="203">
        <v>802.13518877180911</v>
      </c>
      <c r="J605" s="203">
        <v>0</v>
      </c>
      <c r="K605" s="316">
        <f t="shared" si="212"/>
        <v>1804</v>
      </c>
      <c r="L605" s="317">
        <f t="shared" si="213"/>
        <v>7216</v>
      </c>
      <c r="M605" s="318">
        <f t="shared" si="203"/>
        <v>2.6132401121246591E-4</v>
      </c>
    </row>
    <row r="606" spans="2:13" s="313" customFormat="1" ht="54" x14ac:dyDescent="0.2">
      <c r="B606" s="314" t="s">
        <v>932</v>
      </c>
      <c r="C606" s="315" t="str">
        <f>VLOOKUP(D606,Fontes!$A$6:$H$11629,8,FALSE)</f>
        <v>Custo Mercado Reajustado</v>
      </c>
      <c r="D606" s="315" t="s">
        <v>1492</v>
      </c>
      <c r="E606" s="204" t="str">
        <f>VLOOKUP(D606,Fontes!$A$6:$H$11629,2,FALSE)</f>
        <v>Grelha de exaustão/retorno ref.: AR-AG 225 x 125 mm pintado na cor branco neve - Trox ou equivalente ou equivalente</v>
      </c>
      <c r="F606" s="203">
        <v>31</v>
      </c>
      <c r="G606" s="203" t="str">
        <f>VLOOKUP(D606,Fontes!$A$6:$L$11629,3,FALSE)</f>
        <v>un</v>
      </c>
      <c r="H606" s="203">
        <v>151.40704366375513</v>
      </c>
      <c r="I606" s="203">
        <v>120.803492284911</v>
      </c>
      <c r="J606" s="203">
        <v>0</v>
      </c>
      <c r="K606" s="316">
        <f t="shared" si="212"/>
        <v>272.20999999999998</v>
      </c>
      <c r="L606" s="317">
        <f t="shared" si="213"/>
        <v>8438.51</v>
      </c>
      <c r="M606" s="318">
        <f t="shared" si="203"/>
        <v>3.0559662996902794E-4</v>
      </c>
    </row>
    <row r="607" spans="2:13" s="313" customFormat="1" ht="54" x14ac:dyDescent="0.2">
      <c r="B607" s="314" t="s">
        <v>933</v>
      </c>
      <c r="C607" s="315" t="str">
        <f>VLOOKUP(D607,Fontes!$A$6:$H$11629,8,FALSE)</f>
        <v>Custo Mercado Reajustado</v>
      </c>
      <c r="D607" s="315" t="s">
        <v>1493</v>
      </c>
      <c r="E607" s="204" t="str">
        <f>VLOOKUP(D607,Fontes!$A$6:$H$11629,2,FALSE)</f>
        <v>Grelha de exaustão/retorno ref.: AR-AG 325 x 225 mm pintado na cor branco neve - Trox ou equivalente ou equivalente</v>
      </c>
      <c r="F607" s="203">
        <v>3</v>
      </c>
      <c r="G607" s="203" t="str">
        <f>VLOOKUP(D607,Fontes!$A$6:$L$11629,3,FALSE)</f>
        <v>un</v>
      </c>
      <c r="H607" s="203">
        <v>243.21769780028751</v>
      </c>
      <c r="I607" s="203">
        <v>194.89630088632305</v>
      </c>
      <c r="J607" s="203">
        <v>0</v>
      </c>
      <c r="K607" s="316">
        <f t="shared" si="212"/>
        <v>438.11</v>
      </c>
      <c r="L607" s="317">
        <f t="shared" si="213"/>
        <v>1314.33</v>
      </c>
      <c r="M607" s="318">
        <f t="shared" ref="M607:M638" si="216">+L607/$L$851</f>
        <v>4.7597836426951259E-5</v>
      </c>
    </row>
    <row r="608" spans="2:13" s="313" customFormat="1" ht="54" x14ac:dyDescent="0.2">
      <c r="B608" s="314" t="s">
        <v>934</v>
      </c>
      <c r="C608" s="315" t="str">
        <f>VLOOKUP(D608,Fontes!$A$6:$H$11629,8,FALSE)</f>
        <v>Custo Mercado Reajustado</v>
      </c>
      <c r="D608" s="315" t="s">
        <v>1494</v>
      </c>
      <c r="E608" s="204" t="str">
        <f>VLOOKUP(D608,Fontes!$A$6:$H$11629,2,FALSE)</f>
        <v>Grelha de porta com aletas indevassáveis e dupla moldura fabricante de referência "Trox ou equivalente" - modelo de  referência: AGS- dimensões 325 x 165 mm</v>
      </c>
      <c r="F608" s="203">
        <v>9</v>
      </c>
      <c r="G608" s="203" t="str">
        <f>VLOOKUP(D608,Fontes!$A$6:$L$11629,3,FALSE)</f>
        <v>un</v>
      </c>
      <c r="H608" s="203">
        <v>248.04983749168392</v>
      </c>
      <c r="I608" s="203">
        <v>198.11772734725409</v>
      </c>
      <c r="J608" s="203">
        <v>0</v>
      </c>
      <c r="K608" s="316">
        <f t="shared" si="212"/>
        <v>446.17</v>
      </c>
      <c r="L608" s="317">
        <f t="shared" si="213"/>
        <v>4015.53</v>
      </c>
      <c r="M608" s="318">
        <f t="shared" si="216"/>
        <v>1.4542051091241592E-4</v>
      </c>
    </row>
    <row r="609" spans="2:13" s="313" customFormat="1" ht="54" x14ac:dyDescent="0.2">
      <c r="B609" s="314" t="s">
        <v>2321</v>
      </c>
      <c r="C609" s="315" t="str">
        <f>VLOOKUP(D609,Fontes!$A$6:$H$11629,8,FALSE)</f>
        <v>Custo Mercado Reajustado</v>
      </c>
      <c r="D609" s="315" t="s">
        <v>1495</v>
      </c>
      <c r="E609" s="204" t="str">
        <f>VLOOKUP(D609,Fontes!$A$6:$H$11629,2,FALSE)</f>
        <v>Grelha de porta com aletas indevassáveis e dupla moldura fabricante de referência "Trox ou equivalente" - modelo de  referência: AGS- dimensões 325 x 225 mm</v>
      </c>
      <c r="F609" s="203">
        <v>9</v>
      </c>
      <c r="G609" s="203" t="str">
        <f>VLOOKUP(D609,Fontes!$A$6:$L$11629,3,FALSE)</f>
        <v>un</v>
      </c>
      <c r="H609" s="203">
        <v>328.58549901495797</v>
      </c>
      <c r="I609" s="203">
        <v>264.15696979633873</v>
      </c>
      <c r="J609" s="203">
        <v>0</v>
      </c>
      <c r="K609" s="316">
        <f t="shared" si="212"/>
        <v>592.74</v>
      </c>
      <c r="L609" s="317">
        <f t="shared" si="213"/>
        <v>5334.66</v>
      </c>
      <c r="M609" s="318">
        <f t="shared" si="216"/>
        <v>1.9319217705857723E-4</v>
      </c>
    </row>
    <row r="610" spans="2:13" s="109" customFormat="1" ht="18" x14ac:dyDescent="0.2">
      <c r="B610" s="114"/>
      <c r="C610" s="115"/>
      <c r="D610" s="115"/>
      <c r="E610" s="116"/>
      <c r="F610" s="117"/>
      <c r="G610" s="117"/>
      <c r="H610" s="117"/>
      <c r="I610" s="117"/>
      <c r="J610" s="117"/>
      <c r="K610" s="118"/>
      <c r="L610" s="119"/>
      <c r="M610" s="120">
        <f t="shared" si="216"/>
        <v>0</v>
      </c>
    </row>
    <row r="611" spans="2:13" s="109" customFormat="1" ht="25.5" customHeight="1" x14ac:dyDescent="0.2">
      <c r="B611" s="217" t="s">
        <v>935</v>
      </c>
      <c r="C611" s="218"/>
      <c r="D611" s="218"/>
      <c r="E611" s="311" t="s">
        <v>486</v>
      </c>
      <c r="F611" s="219"/>
      <c r="G611" s="220"/>
      <c r="H611" s="221"/>
      <c r="I611" s="221"/>
      <c r="J611" s="219"/>
      <c r="K611" s="219"/>
      <c r="L611" s="222">
        <f>SUBTOTAL(9,L612:L628)</f>
        <v>48793.479999999996</v>
      </c>
      <c r="M611" s="223">
        <f t="shared" si="216"/>
        <v>1.7670326932670772E-3</v>
      </c>
    </row>
    <row r="612" spans="2:13" s="313" customFormat="1" ht="54" x14ac:dyDescent="0.2">
      <c r="B612" s="314" t="s">
        <v>936</v>
      </c>
      <c r="C612" s="315" t="str">
        <f>VLOOKUP(D612,Fontes!$A$6:$H$11629,8,FALSE)</f>
        <v>Custo Mercado Reajustado</v>
      </c>
      <c r="D612" s="315" t="s">
        <v>1496</v>
      </c>
      <c r="E612" s="204" t="str">
        <f>VLOOKUP(D612,Fontes!$A$6:$H$11629,2,FALSE)</f>
        <v>Damper de regulagem de ar ref.: JN-B 200 x 150 mm fabr. Trox ou equivalente</v>
      </c>
      <c r="F612" s="203">
        <v>32</v>
      </c>
      <c r="G612" s="203" t="str">
        <f>VLOOKUP(D612,Fontes!$A$6:$L$11629,3,FALSE)</f>
        <v>un</v>
      </c>
      <c r="H612" s="203">
        <v>196.50701411678855</v>
      </c>
      <c r="I612" s="203">
        <v>157.84989658561705</v>
      </c>
      <c r="J612" s="203">
        <v>0</v>
      </c>
      <c r="K612" s="316">
        <f t="shared" ref="K612:K628" si="217">ROUND(+H612+I612+J612,2)</f>
        <v>354.36</v>
      </c>
      <c r="L612" s="317">
        <f t="shared" ref="L612:L628" si="218">ROUND(F612*K612,2)</f>
        <v>11339.52</v>
      </c>
      <c r="M612" s="318">
        <f t="shared" si="216"/>
        <v>4.1065532866185994E-4</v>
      </c>
    </row>
    <row r="613" spans="2:13" s="313" customFormat="1" ht="54" x14ac:dyDescent="0.2">
      <c r="B613" s="314" t="s">
        <v>937</v>
      </c>
      <c r="C613" s="315" t="str">
        <f>VLOOKUP(D613,Fontes!$A$6:$H$11629,8,FALSE)</f>
        <v>Custo Mercado Reajustado</v>
      </c>
      <c r="D613" s="315" t="s">
        <v>1497</v>
      </c>
      <c r="E613" s="204" t="str">
        <f>VLOOKUP(D613,Fontes!$A$6:$H$11629,2,FALSE)</f>
        <v>Damper de regulagem de ar ref.: JN-B 200 x 200 mm fabr. Trox ou equivalente</v>
      </c>
      <c r="F613" s="203">
        <v>5</v>
      </c>
      <c r="G613" s="203" t="str">
        <f>VLOOKUP(D613,Fontes!$A$6:$L$11629,3,FALSE)</f>
        <v>un</v>
      </c>
      <c r="H613" s="203">
        <v>227.1105654956327</v>
      </c>
      <c r="I613" s="203">
        <v>182.01059504259925</v>
      </c>
      <c r="J613" s="203">
        <v>0</v>
      </c>
      <c r="K613" s="316">
        <f t="shared" si="217"/>
        <v>409.12</v>
      </c>
      <c r="L613" s="317">
        <f t="shared" si="218"/>
        <v>2045.6</v>
      </c>
      <c r="M613" s="318">
        <f t="shared" si="216"/>
        <v>7.4080432003356464E-5</v>
      </c>
    </row>
    <row r="614" spans="2:13" s="313" customFormat="1" ht="54" x14ac:dyDescent="0.2">
      <c r="B614" s="314" t="s">
        <v>938</v>
      </c>
      <c r="C614" s="315" t="str">
        <f>VLOOKUP(D614,Fontes!$A$6:$H$11629,8,FALSE)</f>
        <v>Custo Mercado Reajustado</v>
      </c>
      <c r="D614" s="315" t="s">
        <v>1498</v>
      </c>
      <c r="E614" s="204" t="str">
        <f>VLOOKUP(D614,Fontes!$A$6:$H$11629,2,FALSE)</f>
        <v>Damper de regulagem de ar ref.: JN-B 250 x 200 mm fabr. Trox ou equivalente</v>
      </c>
      <c r="F614" s="203">
        <v>5</v>
      </c>
      <c r="G614" s="203" t="str">
        <f>VLOOKUP(D614,Fontes!$A$6:$L$11629,3,FALSE)</f>
        <v>un</v>
      </c>
      <c r="H614" s="203">
        <v>257.71411687447682</v>
      </c>
      <c r="I614" s="203">
        <v>206.17129349958145</v>
      </c>
      <c r="J614" s="203">
        <v>0</v>
      </c>
      <c r="K614" s="316">
        <f t="shared" si="217"/>
        <v>463.89</v>
      </c>
      <c r="L614" s="317">
        <f t="shared" si="218"/>
        <v>2319.4499999999998</v>
      </c>
      <c r="M614" s="318">
        <f t="shared" si="216"/>
        <v>8.3997779629539071E-5</v>
      </c>
    </row>
    <row r="615" spans="2:13" s="313" customFormat="1" ht="54" x14ac:dyDescent="0.2">
      <c r="B615" s="314" t="s">
        <v>939</v>
      </c>
      <c r="C615" s="315" t="str">
        <f>VLOOKUP(D615,Fontes!$A$6:$H$11629,8,FALSE)</f>
        <v>Custo Mercado Reajustado</v>
      </c>
      <c r="D615" s="315" t="s">
        <v>1499</v>
      </c>
      <c r="E615" s="204" t="str">
        <f>VLOOKUP(D615,Fontes!$A$6:$H$11629,2,FALSE)</f>
        <v>Damper de regulagem de ar ref.: JN-B 250 x 250 mm fabr. Trox ou equivalente</v>
      </c>
      <c r="F615" s="203">
        <v>2</v>
      </c>
      <c r="G615" s="203" t="str">
        <f>VLOOKUP(D615,Fontes!$A$6:$L$11629,3,FALSE)</f>
        <v>un</v>
      </c>
      <c r="H615" s="203">
        <v>291.53909471425192</v>
      </c>
      <c r="I615" s="203">
        <v>233.55341841749458</v>
      </c>
      <c r="J615" s="203">
        <v>0</v>
      </c>
      <c r="K615" s="316">
        <f t="shared" si="217"/>
        <v>525.09</v>
      </c>
      <c r="L615" s="317">
        <f t="shared" si="218"/>
        <v>1050.18</v>
      </c>
      <c r="M615" s="318">
        <f t="shared" si="216"/>
        <v>3.8031769691672318E-5</v>
      </c>
    </row>
    <row r="616" spans="2:13" s="313" customFormat="1" ht="54" x14ac:dyDescent="0.2">
      <c r="B616" s="314" t="s">
        <v>940</v>
      </c>
      <c r="C616" s="315" t="str">
        <f>VLOOKUP(D616,Fontes!$A$6:$H$11629,8,FALSE)</f>
        <v>Custo Mercado Reajustado</v>
      </c>
      <c r="D616" s="315" t="s">
        <v>1500</v>
      </c>
      <c r="E616" s="204" t="str">
        <f>VLOOKUP(D616,Fontes!$A$6:$H$11629,2,FALSE)</f>
        <v>Damper de regulagem de ar ref.: JN-B 300 x 150 mm fabr. Trox ou equivalente</v>
      </c>
      <c r="F616" s="203">
        <v>2</v>
      </c>
      <c r="G616" s="203" t="str">
        <f>VLOOKUP(D616,Fontes!$A$6:$L$11629,3,FALSE)</f>
        <v>un</v>
      </c>
      <c r="H616" s="203">
        <v>249.66055072214942</v>
      </c>
      <c r="I616" s="203">
        <v>199.72844057771951</v>
      </c>
      <c r="J616" s="203">
        <v>0</v>
      </c>
      <c r="K616" s="316">
        <f t="shared" si="217"/>
        <v>449.39</v>
      </c>
      <c r="L616" s="317">
        <f t="shared" si="218"/>
        <v>898.78</v>
      </c>
      <c r="M616" s="318">
        <f t="shared" si="216"/>
        <v>3.2548890631588147E-5</v>
      </c>
    </row>
    <row r="617" spans="2:13" s="313" customFormat="1" ht="54" x14ac:dyDescent="0.2">
      <c r="B617" s="314" t="s">
        <v>941</v>
      </c>
      <c r="C617" s="315" t="str">
        <f>VLOOKUP(D617,Fontes!$A$6:$H$11629,8,FALSE)</f>
        <v>Custo Mercado Reajustado</v>
      </c>
      <c r="D617" s="315" t="s">
        <v>1501</v>
      </c>
      <c r="E617" s="204" t="str">
        <f>VLOOKUP(D617,Fontes!$A$6:$H$11629,2,FALSE)</f>
        <v>Damper de regulagem de ar ref.: JN-B 300 x 200 mm fabr. Trox ou equivalente</v>
      </c>
      <c r="F617" s="203">
        <v>3</v>
      </c>
      <c r="G617" s="203" t="str">
        <f>VLOOKUP(D617,Fontes!$A$6:$L$11629,3,FALSE)</f>
        <v>un</v>
      </c>
      <c r="H617" s="203">
        <v>286.70695502285548</v>
      </c>
      <c r="I617" s="203">
        <v>228.72127872609815</v>
      </c>
      <c r="J617" s="203">
        <v>0</v>
      </c>
      <c r="K617" s="316">
        <f t="shared" si="217"/>
        <v>515.42999999999995</v>
      </c>
      <c r="L617" s="317">
        <f t="shared" si="218"/>
        <v>1546.29</v>
      </c>
      <c r="M617" s="318">
        <f t="shared" si="216"/>
        <v>5.5998157607777701E-5</v>
      </c>
    </row>
    <row r="618" spans="2:13" s="313" customFormat="1" ht="54" x14ac:dyDescent="0.2">
      <c r="B618" s="314" t="s">
        <v>942</v>
      </c>
      <c r="C618" s="315" t="str">
        <f>VLOOKUP(D618,Fontes!$A$6:$H$11629,8,FALSE)</f>
        <v>Custo Mercado Reajustado</v>
      </c>
      <c r="D618" s="315" t="s">
        <v>1502</v>
      </c>
      <c r="E618" s="204" t="str">
        <f>VLOOKUP(D618,Fontes!$A$6:$H$11629,2,FALSE)</f>
        <v>Damper de regulagem de ar ref.: JN-B 300 x 250 mm fabr. Trox ou equivalente</v>
      </c>
      <c r="F618" s="203">
        <v>1</v>
      </c>
      <c r="G618" s="203" t="str">
        <f>VLOOKUP(D618,Fontes!$A$6:$L$11629,3,FALSE)</f>
        <v>un</v>
      </c>
      <c r="H618" s="203">
        <v>320.53193286263058</v>
      </c>
      <c r="I618" s="203">
        <v>257.71411687447682</v>
      </c>
      <c r="J618" s="203">
        <v>0</v>
      </c>
      <c r="K618" s="316">
        <f t="shared" si="217"/>
        <v>578.25</v>
      </c>
      <c r="L618" s="317">
        <f t="shared" si="218"/>
        <v>578.25</v>
      </c>
      <c r="M618" s="318">
        <f t="shared" si="216"/>
        <v>2.0941048986087639E-5</v>
      </c>
    </row>
    <row r="619" spans="2:13" s="313" customFormat="1" ht="54" x14ac:dyDescent="0.2">
      <c r="B619" s="314" t="s">
        <v>943</v>
      </c>
      <c r="C619" s="315" t="str">
        <f>VLOOKUP(D619,Fontes!$A$6:$H$11629,8,FALSE)</f>
        <v>Custo Mercado Reajustado</v>
      </c>
      <c r="D619" s="315" t="s">
        <v>1503</v>
      </c>
      <c r="E619" s="204" t="str">
        <f>VLOOKUP(D619,Fontes!$A$6:$H$11629,2,FALSE)</f>
        <v>Damper de regulagem de ar ref.: JN-B 400 x 200 mm fabr. Trox ou equivalente</v>
      </c>
      <c r="F619" s="203">
        <v>2</v>
      </c>
      <c r="G619" s="203" t="str">
        <f>VLOOKUP(D619,Fontes!$A$6:$L$11629,3,FALSE)</f>
        <v>un</v>
      </c>
      <c r="H619" s="203">
        <v>347.91405778054371</v>
      </c>
      <c r="I619" s="203">
        <v>278.65338887052803</v>
      </c>
      <c r="J619" s="203">
        <v>0</v>
      </c>
      <c r="K619" s="316">
        <f t="shared" si="217"/>
        <v>626.57000000000005</v>
      </c>
      <c r="L619" s="317">
        <f t="shared" si="218"/>
        <v>1253.1400000000001</v>
      </c>
      <c r="M619" s="318">
        <f t="shared" si="216"/>
        <v>4.5381869652271275E-5</v>
      </c>
    </row>
    <row r="620" spans="2:13" s="313" customFormat="1" ht="54" x14ac:dyDescent="0.2">
      <c r="B620" s="314" t="s">
        <v>944</v>
      </c>
      <c r="C620" s="315" t="str">
        <f>VLOOKUP(D620,Fontes!$A$6:$H$11629,8,FALSE)</f>
        <v>Custo Mercado Reajustado</v>
      </c>
      <c r="D620" s="315" t="s">
        <v>1504</v>
      </c>
      <c r="E620" s="204" t="str">
        <f>VLOOKUP(D620,Fontes!$A$6:$H$11629,2,FALSE)</f>
        <v>Damper de regulagem de ar ref.: JN-B 400 x 300 mm fabr. Trox ou equivalente</v>
      </c>
      <c r="F620" s="203">
        <v>1</v>
      </c>
      <c r="G620" s="203" t="str">
        <f>VLOOKUP(D620,Fontes!$A$6:$L$11629,3,FALSE)</f>
        <v>un</v>
      </c>
      <c r="H620" s="203">
        <v>430.06043253428317</v>
      </c>
      <c r="I620" s="203">
        <v>344.69263131961276</v>
      </c>
      <c r="J620" s="203">
        <v>0</v>
      </c>
      <c r="K620" s="316">
        <f t="shared" si="217"/>
        <v>774.75</v>
      </c>
      <c r="L620" s="317">
        <f t="shared" si="218"/>
        <v>774.75</v>
      </c>
      <c r="M620" s="318">
        <f t="shared" si="216"/>
        <v>2.8057203116249717E-5</v>
      </c>
    </row>
    <row r="621" spans="2:13" s="313" customFormat="1" ht="54" x14ac:dyDescent="0.2">
      <c r="B621" s="314" t="s">
        <v>945</v>
      </c>
      <c r="C621" s="315" t="str">
        <f>VLOOKUP(D621,Fontes!$A$6:$H$11629,8,FALSE)</f>
        <v>Custo Mercado Reajustado</v>
      </c>
      <c r="D621" s="315" t="s">
        <v>1505</v>
      </c>
      <c r="E621" s="204" t="str">
        <f>VLOOKUP(D621,Fontes!$A$6:$H$11629,2,FALSE)</f>
        <v>Damper de regulagem de ar ref.: JN-B 500 x 250 mm fabr. Trox</v>
      </c>
      <c r="F621" s="203">
        <v>1</v>
      </c>
      <c r="G621" s="203" t="str">
        <f>VLOOKUP(D621,Fontes!$A$6:$L$11629,3,FALSE)</f>
        <v>un</v>
      </c>
      <c r="H621" s="203">
        <v>468.7175500654547</v>
      </c>
      <c r="I621" s="203">
        <v>375.29618269845679</v>
      </c>
      <c r="J621" s="203">
        <v>0</v>
      </c>
      <c r="K621" s="316">
        <f t="shared" si="217"/>
        <v>844.01</v>
      </c>
      <c r="L621" s="317">
        <f t="shared" si="218"/>
        <v>844.01</v>
      </c>
      <c r="M621" s="318">
        <f t="shared" si="216"/>
        <v>3.0565421106351629E-5</v>
      </c>
    </row>
    <row r="622" spans="2:13" s="313" customFormat="1" ht="54" x14ac:dyDescent="0.2">
      <c r="B622" s="314" t="s">
        <v>946</v>
      </c>
      <c r="C622" s="315" t="str">
        <f>VLOOKUP(D622,Fontes!$A$6:$H$11629,8,FALSE)</f>
        <v>Custo Mercado Reajustado</v>
      </c>
      <c r="D622" s="315" t="s">
        <v>1506</v>
      </c>
      <c r="E622" s="204" t="str">
        <f>VLOOKUP(D622,Fontes!$A$6:$H$11629,2,FALSE)</f>
        <v>Damper de regulagem de ar ref.: JN-B 600 x 300 mm fabr. Trox ou equivalente</v>
      </c>
      <c r="F622" s="203">
        <v>2</v>
      </c>
      <c r="G622" s="203" t="str">
        <f>VLOOKUP(D622,Fontes!$A$6:$L$11629,3,FALSE)</f>
        <v>un</v>
      </c>
      <c r="H622" s="203">
        <v>571.80319681524543</v>
      </c>
      <c r="I622" s="203">
        <v>457.4425574521963</v>
      </c>
      <c r="J622" s="203">
        <v>0</v>
      </c>
      <c r="K622" s="316">
        <f t="shared" si="217"/>
        <v>1029.25</v>
      </c>
      <c r="L622" s="317">
        <f t="shared" si="218"/>
        <v>2058.5</v>
      </c>
      <c r="M622" s="318">
        <f t="shared" si="216"/>
        <v>7.454759937373351E-5</v>
      </c>
    </row>
    <row r="623" spans="2:13" s="313" customFormat="1" ht="54" x14ac:dyDescent="0.2">
      <c r="B623" s="314" t="s">
        <v>947</v>
      </c>
      <c r="C623" s="315" t="str">
        <f>VLOOKUP(D623,Fontes!$A$6:$H$11629,8,FALSE)</f>
        <v>Custo Mercado Reajustado</v>
      </c>
      <c r="D623" s="315" t="s">
        <v>1507</v>
      </c>
      <c r="E623" s="204" t="str">
        <f>VLOOKUP(D623,Fontes!$A$6:$H$11629,2,FALSE)</f>
        <v>Damper de sobre pressão ref.: KUL-E 600 x 300 mm fabr. Trox ou equivalente</v>
      </c>
      <c r="F623" s="203">
        <v>1</v>
      </c>
      <c r="G623" s="203" t="str">
        <f>VLOOKUP(D623,Fontes!$A$6:$L$11629,3,FALSE)</f>
        <v>un</v>
      </c>
      <c r="H623" s="203">
        <v>513.8175205184881</v>
      </c>
      <c r="I623" s="203">
        <v>410.73187376869748</v>
      </c>
      <c r="J623" s="203">
        <v>0</v>
      </c>
      <c r="K623" s="316">
        <f t="shared" si="217"/>
        <v>924.55</v>
      </c>
      <c r="L623" s="317">
        <f t="shared" si="218"/>
        <v>924.55</v>
      </c>
      <c r="M623" s="318">
        <f t="shared" si="216"/>
        <v>3.3482138936597188E-5</v>
      </c>
    </row>
    <row r="624" spans="2:13" s="313" customFormat="1" ht="54" x14ac:dyDescent="0.2">
      <c r="B624" s="314" t="s">
        <v>948</v>
      </c>
      <c r="C624" s="315" t="str">
        <f>VLOOKUP(D624,Fontes!$A$6:$H$11629,8,FALSE)</f>
        <v>Custo Mercado Reajustado</v>
      </c>
      <c r="D624" s="315" t="s">
        <v>1508</v>
      </c>
      <c r="E624" s="204" t="str">
        <f>VLOOKUP(D624,Fontes!$A$6:$H$11629,2,FALSE)</f>
        <v>Damper corta-fogo ref.: FKA-TI 200 x 150 mm fabr. Trox ou equivalente</v>
      </c>
      <c r="F624" s="203">
        <v>5</v>
      </c>
      <c r="G624" s="203" t="str">
        <f>VLOOKUP(D624,Fontes!$A$6:$L$11629,3,FALSE)</f>
        <v>un</v>
      </c>
      <c r="H624" s="203">
        <v>832.73874015065326</v>
      </c>
      <c r="I624" s="203">
        <v>665.22456418224328</v>
      </c>
      <c r="J624" s="203">
        <v>0</v>
      </c>
      <c r="K624" s="316">
        <f t="shared" si="217"/>
        <v>1497.96</v>
      </c>
      <c r="L624" s="317">
        <f t="shared" si="218"/>
        <v>7489.8</v>
      </c>
      <c r="M624" s="318">
        <f t="shared" si="216"/>
        <v>2.7123954811240675E-4</v>
      </c>
    </row>
    <row r="625" spans="2:13" s="313" customFormat="1" ht="54" x14ac:dyDescent="0.2">
      <c r="B625" s="314" t="s">
        <v>949</v>
      </c>
      <c r="C625" s="315" t="str">
        <f>VLOOKUP(D625,Fontes!$A$6:$H$11629,8,FALSE)</f>
        <v>Custo Mercado Reajustado</v>
      </c>
      <c r="D625" s="315" t="s">
        <v>1509</v>
      </c>
      <c r="E625" s="204" t="str">
        <f>VLOOKUP(D625,Fontes!$A$6:$H$11629,2,FALSE)</f>
        <v>Damper corta-fogo ref.: FKA-TI 250 x 200 mm fabr. Trox ou equivalente</v>
      </c>
      <c r="F625" s="203">
        <v>3</v>
      </c>
      <c r="G625" s="203" t="str">
        <f>VLOOKUP(D625,Fontes!$A$6:$L$11629,3,FALSE)</f>
        <v>un</v>
      </c>
      <c r="H625" s="203">
        <v>922.93868105672004</v>
      </c>
      <c r="I625" s="203">
        <v>737.70665955318987</v>
      </c>
      <c r="J625" s="203">
        <v>0</v>
      </c>
      <c r="K625" s="316">
        <f t="shared" si="217"/>
        <v>1660.65</v>
      </c>
      <c r="L625" s="317">
        <f t="shared" si="218"/>
        <v>4981.95</v>
      </c>
      <c r="M625" s="318">
        <f t="shared" si="216"/>
        <v>1.8041895200387255E-4</v>
      </c>
    </row>
    <row r="626" spans="2:13" s="313" customFormat="1" ht="54" x14ac:dyDescent="0.2">
      <c r="B626" s="314" t="s">
        <v>950</v>
      </c>
      <c r="C626" s="315" t="str">
        <f>VLOOKUP(D626,Fontes!$A$6:$H$11629,8,FALSE)</f>
        <v>Custo Mercado Reajustado</v>
      </c>
      <c r="D626" s="315" t="s">
        <v>1510</v>
      </c>
      <c r="E626" s="204" t="str">
        <f>VLOOKUP(D626,Fontes!$A$6:$H$11629,2,FALSE)</f>
        <v>Damper corta-fogo ref.: FKA-TI 250 x 250 mm fabr. Trox ou equivalente</v>
      </c>
      <c r="F626" s="203">
        <v>2</v>
      </c>
      <c r="G626" s="203" t="str">
        <f>VLOOKUP(D626,Fontes!$A$6:$L$11629,3,FALSE)</f>
        <v>un</v>
      </c>
      <c r="H626" s="203">
        <v>1022.8029013455799</v>
      </c>
      <c r="I626" s="203">
        <v>818.2423210764639</v>
      </c>
      <c r="J626" s="203">
        <v>0</v>
      </c>
      <c r="K626" s="316">
        <f t="shared" si="217"/>
        <v>1841.05</v>
      </c>
      <c r="L626" s="317">
        <f t="shared" si="218"/>
        <v>3682.1</v>
      </c>
      <c r="M626" s="318">
        <f t="shared" si="216"/>
        <v>1.3334550189653835E-4</v>
      </c>
    </row>
    <row r="627" spans="2:13" s="313" customFormat="1" ht="54" x14ac:dyDescent="0.2">
      <c r="B627" s="314" t="s">
        <v>951</v>
      </c>
      <c r="C627" s="315" t="str">
        <f>VLOOKUP(D627,Fontes!$A$6:$H$11629,8,FALSE)</f>
        <v>Custo Mercado Reajustado</v>
      </c>
      <c r="D627" s="315" t="s">
        <v>1511</v>
      </c>
      <c r="E627" s="204" t="str">
        <f>VLOOKUP(D627,Fontes!$A$6:$H$11629,2,FALSE)</f>
        <v>Damper corta-fogo ref.: FKA-TI 300 x 200 mm fabr. Trox ou equivalente</v>
      </c>
      <c r="F627" s="203">
        <v>2</v>
      </c>
      <c r="G627" s="203" t="str">
        <f>VLOOKUP(D627,Fontes!$A$6:$L$11629,3,FALSE)</f>
        <v>un</v>
      </c>
      <c r="H627" s="203">
        <v>1011.5279087323216</v>
      </c>
      <c r="I627" s="203">
        <v>810.18875492413645</v>
      </c>
      <c r="J627" s="203">
        <v>0</v>
      </c>
      <c r="K627" s="316">
        <f t="shared" si="217"/>
        <v>1821.72</v>
      </c>
      <c r="L627" s="317">
        <f t="shared" si="218"/>
        <v>3643.44</v>
      </c>
      <c r="M627" s="318">
        <f t="shared" si="216"/>
        <v>1.3194544836640061E-4</v>
      </c>
    </row>
    <row r="628" spans="2:13" s="313" customFormat="1" ht="54" x14ac:dyDescent="0.2">
      <c r="B628" s="314" t="s">
        <v>952</v>
      </c>
      <c r="C628" s="315" t="str">
        <f>VLOOKUP(D628,Fontes!$A$6:$H$11629,8,FALSE)</f>
        <v>Custo Mercado Reajustado</v>
      </c>
      <c r="D628" s="315" t="s">
        <v>1512</v>
      </c>
      <c r="E628" s="204" t="str">
        <f>VLOOKUP(D628,Fontes!$A$6:$H$11629,2,FALSE)</f>
        <v>Damper corta-fogo ref.: FKA-TI 600 x 300 mm fabr. Trox ou equivalente</v>
      </c>
      <c r="F628" s="203">
        <v>1</v>
      </c>
      <c r="G628" s="203" t="str">
        <f>VLOOKUP(D628,Fontes!$A$6:$L$11629,3,FALSE)</f>
        <v>un</v>
      </c>
      <c r="H628" s="203">
        <v>1868.4273473399571</v>
      </c>
      <c r="I628" s="203">
        <v>1494.7418778719655</v>
      </c>
      <c r="J628" s="203">
        <v>0</v>
      </c>
      <c r="K628" s="316">
        <f t="shared" si="217"/>
        <v>3363.17</v>
      </c>
      <c r="L628" s="317">
        <f t="shared" si="218"/>
        <v>3363.17</v>
      </c>
      <c r="M628" s="318">
        <f t="shared" si="216"/>
        <v>1.2179560349077452E-4</v>
      </c>
    </row>
    <row r="629" spans="2:13" s="109" customFormat="1" ht="18" x14ac:dyDescent="0.2">
      <c r="B629" s="114"/>
      <c r="C629" s="115"/>
      <c r="D629" s="115"/>
      <c r="E629" s="116"/>
      <c r="F629" s="117"/>
      <c r="G629" s="117"/>
      <c r="H629" s="117"/>
      <c r="I629" s="117"/>
      <c r="J629" s="117"/>
      <c r="K629" s="118"/>
      <c r="L629" s="119"/>
      <c r="M629" s="120">
        <f t="shared" si="216"/>
        <v>0</v>
      </c>
    </row>
    <row r="630" spans="2:13" s="109" customFormat="1" ht="25.5" customHeight="1" x14ac:dyDescent="0.2">
      <c r="B630" s="217" t="s">
        <v>953</v>
      </c>
      <c r="C630" s="218"/>
      <c r="D630" s="218"/>
      <c r="E630" s="311" t="s">
        <v>487</v>
      </c>
      <c r="F630" s="219"/>
      <c r="G630" s="220"/>
      <c r="H630" s="221"/>
      <c r="I630" s="221"/>
      <c r="J630" s="219"/>
      <c r="K630" s="219"/>
      <c r="L630" s="222">
        <f>SUBTOTAL(9,L631:L643)</f>
        <v>372260.01999999996</v>
      </c>
      <c r="M630" s="223">
        <f t="shared" si="216"/>
        <v>1.3481219739527822E-2</v>
      </c>
    </row>
    <row r="631" spans="2:13" s="313" customFormat="1" ht="54" x14ac:dyDescent="0.2">
      <c r="B631" s="314" t="s">
        <v>954</v>
      </c>
      <c r="C631" s="315" t="str">
        <f>VLOOKUP(D631,Fontes!$A$6:$H$11629,8,FALSE)</f>
        <v>Custo Mercado Reajustado</v>
      </c>
      <c r="D631" s="315" t="s">
        <v>1513</v>
      </c>
      <c r="E631" s="204" t="str">
        <f>VLOOKUP(D631,Fontes!$A$6:$H$11629,2,FALSE)</f>
        <v>Difusor para insuflamento de ar e registro do tipo "OB" modelo de referência: ADKJ-AG fabricante de referência "Trox ou equivalente". tamanho 3 com 4 vias.</v>
      </c>
      <c r="F631" s="203">
        <v>6</v>
      </c>
      <c r="G631" s="203" t="str">
        <f>VLOOKUP(D631,Fontes!$A$6:$L$11629,3,FALSE)</f>
        <v>un</v>
      </c>
      <c r="H631" s="203">
        <v>566.97105712384905</v>
      </c>
      <c r="I631" s="203">
        <v>454.2211309912654</v>
      </c>
      <c r="J631" s="203">
        <v>0</v>
      </c>
      <c r="K631" s="316">
        <f t="shared" ref="K631:K643" si="219">ROUND(+H631+I631+J631,2)</f>
        <v>1021.19</v>
      </c>
      <c r="L631" s="317">
        <f t="shared" ref="L631:L643" si="220">ROUND(F631*K631,2)</f>
        <v>6127.14</v>
      </c>
      <c r="M631" s="318">
        <f t="shared" si="216"/>
        <v>2.2189146370015913E-4</v>
      </c>
    </row>
    <row r="632" spans="2:13" s="313" customFormat="1" ht="54" x14ac:dyDescent="0.2">
      <c r="B632" s="314" t="s">
        <v>955</v>
      </c>
      <c r="C632" s="315" t="str">
        <f>VLOOKUP(D632,Fontes!$A$6:$H$11629,8,FALSE)</f>
        <v>Custo Mercado Reajustado</v>
      </c>
      <c r="D632" s="315" t="s">
        <v>1514</v>
      </c>
      <c r="E632" s="204" t="str">
        <f>VLOOKUP(D632,Fontes!$A$6:$H$11629,2,FALSE)</f>
        <v>Difusor para insuflamento de ar e registro do tipo "OB" modelo de referência: ADKJ-AG fabricante de referência "Trox ou equivalente". tamanho 4 com 4 vias.</v>
      </c>
      <c r="F632" s="203">
        <v>4</v>
      </c>
      <c r="G632" s="203" t="str">
        <f>VLOOKUP(D632,Fontes!$A$6:$L$11629,3,FALSE)</f>
        <v>un</v>
      </c>
      <c r="H632" s="203">
        <v>686.16383617829467</v>
      </c>
      <c r="I632" s="203">
        <v>549.25321158872862</v>
      </c>
      <c r="J632" s="203">
        <v>0</v>
      </c>
      <c r="K632" s="316">
        <f t="shared" si="219"/>
        <v>1235.42</v>
      </c>
      <c r="L632" s="317">
        <f t="shared" si="220"/>
        <v>4941.68</v>
      </c>
      <c r="M632" s="318">
        <f t="shared" si="216"/>
        <v>1.789605930887498E-4</v>
      </c>
    </row>
    <row r="633" spans="2:13" s="313" customFormat="1" ht="54" x14ac:dyDescent="0.2">
      <c r="B633" s="314" t="s">
        <v>956</v>
      </c>
      <c r="C633" s="315" t="str">
        <f>VLOOKUP(D633,Fontes!$A$6:$H$11629,8,FALSE)</f>
        <v>Custo Mercado Reajustado</v>
      </c>
      <c r="D633" s="315" t="s">
        <v>1515</v>
      </c>
      <c r="E633" s="204" t="str">
        <f>VLOOKUP(D633,Fontes!$A$6:$H$11629,2,FALSE)</f>
        <v>Difusor para insuflamento de ar e registro do tipo "OB" modelo de referência: ADKJ-AG fabricante de referência "Trox ou equivalente". tamanho 5 com 4 vias.</v>
      </c>
      <c r="F633" s="203">
        <v>22</v>
      </c>
      <c r="G633" s="203" t="str">
        <f>VLOOKUP(D633,Fontes!$A$6:$L$11629,3,FALSE)</f>
        <v>un</v>
      </c>
      <c r="H633" s="203">
        <v>860.12086506856633</v>
      </c>
      <c r="I633" s="203">
        <v>687.77454940875998</v>
      </c>
      <c r="J633" s="203">
        <v>0</v>
      </c>
      <c r="K633" s="316">
        <f t="shared" si="219"/>
        <v>1547.9</v>
      </c>
      <c r="L633" s="317">
        <f t="shared" si="220"/>
        <v>34053.800000000003</v>
      </c>
      <c r="M633" s="318">
        <f t="shared" si="216"/>
        <v>1.2332421858407805E-3</v>
      </c>
    </row>
    <row r="634" spans="2:13" s="313" customFormat="1" ht="54" x14ac:dyDescent="0.2">
      <c r="B634" s="314" t="s">
        <v>957</v>
      </c>
      <c r="C634" s="315" t="str">
        <f>VLOOKUP(D634,Fontes!$A$6:$H$11629,8,FALSE)</f>
        <v>Custo Mercado Reajustado</v>
      </c>
      <c r="D634" s="315" t="s">
        <v>1516</v>
      </c>
      <c r="E634" s="204" t="str">
        <f>VLOOKUP(D634,Fontes!$A$6:$H$11629,2,FALSE)</f>
        <v>Difusor para insuflamento de ar e registro do tipo "OB" modelo de referência: ADKJ-AG fabricante de referência "Trox ou equivalente". tamanho 6 com 4 vias.</v>
      </c>
      <c r="F634" s="203">
        <v>26</v>
      </c>
      <c r="G634" s="203" t="str">
        <f>VLOOKUP(D634,Fontes!$A$6:$L$11629,3,FALSE)</f>
        <v>un</v>
      </c>
      <c r="H634" s="203">
        <v>1021.1921881151144</v>
      </c>
      <c r="I634" s="203">
        <v>818.2423210764639</v>
      </c>
      <c r="J634" s="203">
        <v>0</v>
      </c>
      <c r="K634" s="316">
        <f t="shared" si="219"/>
        <v>1839.43</v>
      </c>
      <c r="L634" s="317">
        <f t="shared" si="220"/>
        <v>47825.18</v>
      </c>
      <c r="M634" s="318">
        <f t="shared" si="216"/>
        <v>1.7319661688689301E-3</v>
      </c>
    </row>
    <row r="635" spans="2:13" s="313" customFormat="1" ht="54" x14ac:dyDescent="0.2">
      <c r="B635" s="314" t="s">
        <v>958</v>
      </c>
      <c r="C635" s="315" t="str">
        <f>VLOOKUP(D635,Fontes!$A$6:$H$11629,8,FALSE)</f>
        <v>Custo Mercado Reajustado</v>
      </c>
      <c r="D635" s="315" t="s">
        <v>1517</v>
      </c>
      <c r="E635" s="204" t="str">
        <f>VLOOKUP(D635,Fontes!$A$6:$H$11629,2,FALSE)</f>
        <v>Difusor para insuflamento de ar e registro do tipo "OB" modelo de referência: adq-ag. fabricante de referência "Trox ou equivalente". tamanho 471x268 mm, com 1 via.</v>
      </c>
      <c r="F635" s="203">
        <v>2</v>
      </c>
      <c r="G635" s="203" t="str">
        <f>VLOOKUP(D635,Fontes!$A$6:$L$11629,3,FALSE)</f>
        <v>un</v>
      </c>
      <c r="H635" s="203">
        <v>333.41763870635441</v>
      </c>
      <c r="I635" s="203">
        <v>267.37839625726969</v>
      </c>
      <c r="J635" s="203">
        <v>0</v>
      </c>
      <c r="K635" s="316">
        <f t="shared" si="219"/>
        <v>600.79999999999995</v>
      </c>
      <c r="L635" s="317">
        <f t="shared" si="220"/>
        <v>1201.5999999999999</v>
      </c>
      <c r="M635" s="318">
        <f t="shared" si="216"/>
        <v>4.3515373042253188E-5</v>
      </c>
    </row>
    <row r="636" spans="2:13" s="313" customFormat="1" ht="54" x14ac:dyDescent="0.2">
      <c r="B636" s="314" t="s">
        <v>959</v>
      </c>
      <c r="C636" s="315" t="str">
        <f>VLOOKUP(D636,Fontes!$A$6:$H$11629,8,FALSE)</f>
        <v>Custo Mercado Reajustado</v>
      </c>
      <c r="D636" s="315" t="s">
        <v>1518</v>
      </c>
      <c r="E636" s="204" t="str">
        <f>VLOOKUP(D636,Fontes!$A$6:$H$11629,2,FALSE)</f>
        <v>Difusor linear para insuflamento de ar.  modelo de referência: ALS-DS fabricante de referência "Trox ou equivalente". comprimento total = 6.000 mm com duas vias.</v>
      </c>
      <c r="F636" s="203">
        <v>1</v>
      </c>
      <c r="G636" s="203" t="str">
        <f>VLOOKUP(D636,Fontes!$A$6:$L$11629,3,FALSE)</f>
        <v>un</v>
      </c>
      <c r="H636" s="203">
        <v>5154.2823374895361</v>
      </c>
      <c r="I636" s="203">
        <v>4123.425869991629</v>
      </c>
      <c r="J636" s="203">
        <v>0</v>
      </c>
      <c r="K636" s="316">
        <f t="shared" si="219"/>
        <v>9277.7099999999991</v>
      </c>
      <c r="L636" s="317">
        <f t="shared" si="220"/>
        <v>9277.7099999999991</v>
      </c>
      <c r="M636" s="318">
        <f t="shared" si="216"/>
        <v>3.359878592109211E-4</v>
      </c>
    </row>
    <row r="637" spans="2:13" s="313" customFormat="1" ht="54" x14ac:dyDescent="0.2">
      <c r="B637" s="314" t="s">
        <v>960</v>
      </c>
      <c r="C637" s="315" t="str">
        <f>VLOOKUP(D637,Fontes!$A$6:$H$11629,8,FALSE)</f>
        <v>Custo Mercado Reajustado</v>
      </c>
      <c r="D637" s="315" t="s">
        <v>1519</v>
      </c>
      <c r="E637" s="204" t="str">
        <f>VLOOKUP(D637,Fontes!$A$6:$H$11629,2,FALSE)</f>
        <v>Difusor linear para insuflamento de ar.  modelo de referência: ALS-DS fabricante de referência "Trox ou equivalente". comprimento total = 4.000 mm com três vias.</v>
      </c>
      <c r="F637" s="203">
        <v>4</v>
      </c>
      <c r="G637" s="203" t="str">
        <f>VLOOKUP(D637,Fontes!$A$6:$L$11629,3,FALSE)</f>
        <v>un</v>
      </c>
      <c r="H637" s="203">
        <v>4147.5865684486116</v>
      </c>
      <c r="I637" s="203">
        <v>3318.0692547588887</v>
      </c>
      <c r="J637" s="203">
        <v>0</v>
      </c>
      <c r="K637" s="316">
        <f t="shared" si="219"/>
        <v>7465.66</v>
      </c>
      <c r="L637" s="317">
        <f t="shared" si="220"/>
        <v>29862.639999999999</v>
      </c>
      <c r="M637" s="318">
        <f t="shared" si="216"/>
        <v>1.0814613179315178E-3</v>
      </c>
    </row>
    <row r="638" spans="2:13" s="313" customFormat="1" ht="54" x14ac:dyDescent="0.2">
      <c r="B638" s="314" t="s">
        <v>961</v>
      </c>
      <c r="C638" s="315" t="str">
        <f>VLOOKUP(D638,Fontes!$A$6:$H$11629,8,FALSE)</f>
        <v>Custo Mercado Reajustado</v>
      </c>
      <c r="D638" s="315" t="s">
        <v>1520</v>
      </c>
      <c r="E638" s="204" t="str">
        <f>VLOOKUP(D638,Fontes!$A$6:$H$11629,2,FALSE)</f>
        <v>Difusor linear para insuflamento de ar.  modelo de referência: ALS-DS fabricante de referência "Trox ou equivalente". comprimento total = 5.000 mm com três vias.</v>
      </c>
      <c r="F638" s="203">
        <v>1</v>
      </c>
      <c r="G638" s="203" t="str">
        <f>VLOOKUP(D638,Fontes!$A$6:$L$11629,3,FALSE)</f>
        <v>un</v>
      </c>
      <c r="H638" s="203">
        <v>5180.0537491769846</v>
      </c>
      <c r="I638" s="203">
        <v>4142.7544287572146</v>
      </c>
      <c r="J638" s="203">
        <v>0</v>
      </c>
      <c r="K638" s="316">
        <f t="shared" si="219"/>
        <v>9322.81</v>
      </c>
      <c r="L638" s="317">
        <f t="shared" si="220"/>
        <v>9322.81</v>
      </c>
      <c r="M638" s="318">
        <f t="shared" si="216"/>
        <v>3.3762113428099905E-4</v>
      </c>
    </row>
    <row r="639" spans="2:13" s="313" customFormat="1" ht="54" x14ac:dyDescent="0.2">
      <c r="B639" s="314" t="s">
        <v>962</v>
      </c>
      <c r="C639" s="315" t="str">
        <f>VLOOKUP(D639,Fontes!$A$6:$H$11629,8,FALSE)</f>
        <v>Custo Mercado Reajustado</v>
      </c>
      <c r="D639" s="315" t="s">
        <v>1521</v>
      </c>
      <c r="E639" s="204" t="str">
        <f>VLOOKUP(D639,Fontes!$A$6:$H$11629,2,FALSE)</f>
        <v>Difusor linear para insuflamento de ar.  modelo de referência: ALS-DS fabricante de referência "Trox ou equivalente". comprimento total = 6.000 mm com três vias.</v>
      </c>
      <c r="F639" s="203">
        <v>2</v>
      </c>
      <c r="G639" s="203" t="str">
        <f>VLOOKUP(D639,Fontes!$A$6:$L$11629,3,FALSE)</f>
        <v>un</v>
      </c>
      <c r="H639" s="203">
        <v>6217.3530695967538</v>
      </c>
      <c r="I639" s="203">
        <v>4993.211014442988</v>
      </c>
      <c r="J639" s="203">
        <v>0</v>
      </c>
      <c r="K639" s="316">
        <f t="shared" si="219"/>
        <v>11210.56</v>
      </c>
      <c r="L639" s="317">
        <f t="shared" si="220"/>
        <v>22421.119999999999</v>
      </c>
      <c r="M639" s="318">
        <f t="shared" ref="M639:M670" si="221">+L639/$L$851</f>
        <v>8.1197020707816556E-4</v>
      </c>
    </row>
    <row r="640" spans="2:13" s="313" customFormat="1" ht="54" x14ac:dyDescent="0.2">
      <c r="B640" s="314" t="s">
        <v>963</v>
      </c>
      <c r="C640" s="315" t="str">
        <f>VLOOKUP(D640,Fontes!$A$6:$H$11629,8,FALSE)</f>
        <v>Custo Mercado Reajustado</v>
      </c>
      <c r="D640" s="315" t="s">
        <v>1522</v>
      </c>
      <c r="E640" s="204" t="str">
        <f>VLOOKUP(D640,Fontes!$A$6:$H$11629,2,FALSE)</f>
        <v>Difusor linear para insuflamento de ar.  modelo de referência: ALS-DS fabricante de referência "Trox ou equivalente". comprimento total = 7.000 mm com três vias.</v>
      </c>
      <c r="F640" s="203">
        <v>12</v>
      </c>
      <c r="G640" s="203" t="str">
        <f>VLOOKUP(D640,Fontes!$A$6:$L$11629,3,FALSE)</f>
        <v>un</v>
      </c>
      <c r="H640" s="203">
        <v>7248.2095370946599</v>
      </c>
      <c r="I640" s="203">
        <v>5798.5676296757283</v>
      </c>
      <c r="J640" s="203">
        <v>0</v>
      </c>
      <c r="K640" s="316">
        <f t="shared" si="219"/>
        <v>13046.78</v>
      </c>
      <c r="L640" s="317">
        <f t="shared" si="220"/>
        <v>156561.35999999999</v>
      </c>
      <c r="M640" s="318">
        <f t="shared" si="221"/>
        <v>5.6697952599887615E-3</v>
      </c>
    </row>
    <row r="641" spans="2:13" s="313" customFormat="1" ht="54" x14ac:dyDescent="0.2">
      <c r="B641" s="314" t="s">
        <v>964</v>
      </c>
      <c r="C641" s="315" t="str">
        <f>VLOOKUP(D641,Fontes!$A$6:$H$11629,8,FALSE)</f>
        <v>Custo Mercado Reajustado</v>
      </c>
      <c r="D641" s="315" t="s">
        <v>1523</v>
      </c>
      <c r="E641" s="204" t="str">
        <f>VLOOKUP(D641,Fontes!$A$6:$H$11629,2,FALSE)</f>
        <v>Difusor linear para insuflamento de ar.  modelo de referência: ALS-DS fabricante de referência "Trox ou equivalente". comprimento total = 7.300 mm com três vias.</v>
      </c>
      <c r="F641" s="203">
        <v>1</v>
      </c>
      <c r="G641" s="203" t="str">
        <f>VLOOKUP(D641,Fontes!$A$6:$L$11629,3,FALSE)</f>
        <v>un</v>
      </c>
      <c r="H641" s="203">
        <v>7559.0771905744987</v>
      </c>
      <c r="I641" s="203">
        <v>6046.6174671674125</v>
      </c>
      <c r="J641" s="203">
        <v>0</v>
      </c>
      <c r="K641" s="316">
        <f t="shared" si="219"/>
        <v>13605.69</v>
      </c>
      <c r="L641" s="317">
        <f t="shared" si="220"/>
        <v>13605.69</v>
      </c>
      <c r="M641" s="318">
        <f t="shared" si="221"/>
        <v>4.9272359840816734E-4</v>
      </c>
    </row>
    <row r="642" spans="2:13" s="313" customFormat="1" ht="54" x14ac:dyDescent="0.2">
      <c r="B642" s="314" t="s">
        <v>965</v>
      </c>
      <c r="C642" s="315" t="str">
        <f>VLOOKUP(D642,Fontes!$A$6:$H$11629,8,FALSE)</f>
        <v>Custo Mercado Reajustado</v>
      </c>
      <c r="D642" s="315" t="s">
        <v>1524</v>
      </c>
      <c r="E642" s="204" t="str">
        <f>VLOOKUP(D642,Fontes!$A$6:$H$11629,2,FALSE)</f>
        <v>Difusor linear para insuflamento de ar.  modelo de referência: ALS-DS fabricante de referência "Trox ou equivalente". comprimento total = 11.000 mm com três vias.</v>
      </c>
      <c r="F642" s="203">
        <v>1</v>
      </c>
      <c r="G642" s="203" t="str">
        <f>VLOOKUP(D642,Fontes!$A$6:$L$11629,3,FALSE)</f>
        <v>un</v>
      </c>
      <c r="H642" s="203">
        <v>11397.406818773738</v>
      </c>
      <c r="I642" s="203">
        <v>9116.6368844346161</v>
      </c>
      <c r="J642" s="203">
        <v>0</v>
      </c>
      <c r="K642" s="316">
        <f t="shared" si="219"/>
        <v>20514.04</v>
      </c>
      <c r="L642" s="317">
        <f t="shared" si="220"/>
        <v>20514.04</v>
      </c>
      <c r="M642" s="318">
        <f t="shared" si="221"/>
        <v>7.4290621105501308E-4</v>
      </c>
    </row>
    <row r="643" spans="2:13" s="313" customFormat="1" ht="54" x14ac:dyDescent="0.2">
      <c r="B643" s="314" t="s">
        <v>966</v>
      </c>
      <c r="C643" s="315" t="str">
        <f>VLOOKUP(D643,Fontes!$A$6:$H$11629,8,FALSE)</f>
        <v>Custo Mercado Reajustado</v>
      </c>
      <c r="D643" s="315" t="s">
        <v>1525</v>
      </c>
      <c r="E643" s="204" t="str">
        <f>VLOOKUP(D643,Fontes!$A$6:$H$11629,2,FALSE)</f>
        <v>Difusor linear para insuflamento de ar.  modelo de referência: ALS-DS fabricante de referência "Trox ou equivalente". comprimento total = 13.600 mm com uma vias.</v>
      </c>
      <c r="F643" s="203">
        <v>1</v>
      </c>
      <c r="G643" s="203" t="str">
        <f>VLOOKUP(D643,Fontes!$A$6:$L$11629,3,FALSE)</f>
        <v>un</v>
      </c>
      <c r="H643" s="203">
        <v>9192.3404062664958</v>
      </c>
      <c r="I643" s="203">
        <v>7352.9058970749165</v>
      </c>
      <c r="J643" s="203">
        <v>0</v>
      </c>
      <c r="K643" s="316">
        <f t="shared" si="219"/>
        <v>16545.25</v>
      </c>
      <c r="L643" s="317">
        <f t="shared" si="220"/>
        <v>16545.25</v>
      </c>
      <c r="M643" s="318">
        <f t="shared" si="221"/>
        <v>5.9917836703340509E-4</v>
      </c>
    </row>
    <row r="644" spans="2:13" s="109" customFormat="1" ht="18" x14ac:dyDescent="0.2">
      <c r="B644" s="114"/>
      <c r="C644" s="115"/>
      <c r="D644" s="115"/>
      <c r="E644" s="116"/>
      <c r="F644" s="117"/>
      <c r="G644" s="117"/>
      <c r="H644" s="117"/>
      <c r="I644" s="117"/>
      <c r="J644" s="117"/>
      <c r="K644" s="118"/>
      <c r="L644" s="119"/>
      <c r="M644" s="120">
        <f t="shared" si="221"/>
        <v>0</v>
      </c>
    </row>
    <row r="645" spans="2:13" s="109" customFormat="1" ht="25.5" customHeight="1" x14ac:dyDescent="0.2">
      <c r="B645" s="217" t="s">
        <v>967</v>
      </c>
      <c r="C645" s="218"/>
      <c r="D645" s="218"/>
      <c r="E645" s="311" t="s">
        <v>488</v>
      </c>
      <c r="F645" s="219"/>
      <c r="G645" s="220"/>
      <c r="H645" s="221"/>
      <c r="I645" s="221"/>
      <c r="J645" s="219"/>
      <c r="K645" s="219"/>
      <c r="L645" s="222">
        <f>SUBTOTAL(9,L646:L650)</f>
        <v>483114.31</v>
      </c>
      <c r="M645" s="223">
        <f t="shared" si="221"/>
        <v>1.7495755177846829E-2</v>
      </c>
    </row>
    <row r="646" spans="2:13" s="313" customFormat="1" ht="54" x14ac:dyDescent="0.2">
      <c r="B646" s="314" t="s">
        <v>968</v>
      </c>
      <c r="C646" s="315" t="str">
        <f>VLOOKUP(D646,Fontes!$A$6:$H$11629,8,FALSE)</f>
        <v>Custo Mercado Reajustado</v>
      </c>
      <c r="D646" s="315" t="s">
        <v>1526</v>
      </c>
      <c r="E646" s="204" t="str">
        <f>VLOOKUP(D646,Fontes!$A$6:$H$11629,2,FALSE)</f>
        <v>Duto em chapa de aço galvanizada # 22 para ar condicionado. inclusive suportes e fixações em dutos.</v>
      </c>
      <c r="F646" s="203">
        <v>290</v>
      </c>
      <c r="G646" s="203" t="str">
        <f>VLOOKUP(D646,Fontes!$A$6:$L$11629,3,FALSE)</f>
        <v>kg</v>
      </c>
      <c r="H646" s="203">
        <v>35.435691070240566</v>
      </c>
      <c r="I646" s="203">
        <v>32.214264609309602</v>
      </c>
      <c r="J646" s="203">
        <v>0</v>
      </c>
      <c r="K646" s="316">
        <f t="shared" ref="K646:K650" si="222">ROUND(+H646+I646+J646,2)</f>
        <v>67.650000000000006</v>
      </c>
      <c r="L646" s="317">
        <f t="shared" ref="L646:L650" si="223">ROUND(F646*K646,2)</f>
        <v>19618.5</v>
      </c>
      <c r="M646" s="318">
        <f t="shared" si="221"/>
        <v>7.1047465548389167E-4</v>
      </c>
    </row>
    <row r="647" spans="2:13" s="313" customFormat="1" ht="54" x14ac:dyDescent="0.2">
      <c r="B647" s="314" t="s">
        <v>969</v>
      </c>
      <c r="C647" s="315" t="str">
        <f>VLOOKUP(D647,Fontes!$A$6:$H$11629,8,FALSE)</f>
        <v>Custo Mercado Reajustado</v>
      </c>
      <c r="D647" s="315" t="s">
        <v>1527</v>
      </c>
      <c r="E647" s="204" t="str">
        <f>VLOOKUP(D647,Fontes!$A$6:$H$11629,2,FALSE)</f>
        <v>Duto em chapa de aço galvanizada # 24 para ar condicionado. inclusive suportes e fixações em dutos.</v>
      </c>
      <c r="F647" s="203">
        <v>2590</v>
      </c>
      <c r="G647" s="203" t="str">
        <f>VLOOKUP(D647,Fontes!$A$6:$L$11629,3,FALSE)</f>
        <v>kg</v>
      </c>
      <c r="H647" s="203">
        <v>35.435691070240559</v>
      </c>
      <c r="I647" s="203">
        <v>32.214264609309602</v>
      </c>
      <c r="J647" s="203">
        <v>0</v>
      </c>
      <c r="K647" s="316">
        <f t="shared" si="222"/>
        <v>67.650000000000006</v>
      </c>
      <c r="L647" s="317">
        <f t="shared" si="223"/>
        <v>175213.5</v>
      </c>
      <c r="M647" s="318">
        <f t="shared" si="221"/>
        <v>6.3452736472526874E-3</v>
      </c>
    </row>
    <row r="648" spans="2:13" s="313" customFormat="1" ht="54" x14ac:dyDescent="0.2">
      <c r="B648" s="314" t="s">
        <v>970</v>
      </c>
      <c r="C648" s="315" t="str">
        <f>VLOOKUP(D648,Fontes!$A$6:$H$11629,8,FALSE)</f>
        <v>Custo Mercado Reajustado</v>
      </c>
      <c r="D648" s="315" t="s">
        <v>1528</v>
      </c>
      <c r="E648" s="204" t="str">
        <f>VLOOKUP(D648,Fontes!$A$6:$H$11629,2,FALSE)</f>
        <v>Duto em chapa de aço galvanizada # 26 para ar condicionado. inclusive suportes e fixações em dutos.</v>
      </c>
      <c r="F648" s="203">
        <v>3220</v>
      </c>
      <c r="G648" s="203" t="str">
        <f>VLOOKUP(D648,Fontes!$A$6:$L$11629,3,FALSE)</f>
        <v>kg</v>
      </c>
      <c r="H648" s="203">
        <v>35.435691070240566</v>
      </c>
      <c r="I648" s="203">
        <v>32.214264609309602</v>
      </c>
      <c r="J648" s="203">
        <v>0</v>
      </c>
      <c r="K648" s="316">
        <f t="shared" si="222"/>
        <v>67.650000000000006</v>
      </c>
      <c r="L648" s="317">
        <f t="shared" si="223"/>
        <v>217833</v>
      </c>
      <c r="M648" s="318">
        <f t="shared" si="221"/>
        <v>7.888718588476314E-3</v>
      </c>
    </row>
    <row r="649" spans="2:13" s="313" customFormat="1" ht="54" x14ac:dyDescent="0.2">
      <c r="B649" s="314" t="s">
        <v>971</v>
      </c>
      <c r="C649" s="315" t="str">
        <f>VLOOKUP(D649,Fontes!$A$6:$H$11629,8,FALSE)</f>
        <v>Custo Mercado Reajustado</v>
      </c>
      <c r="D649" s="315" t="s">
        <v>1529</v>
      </c>
      <c r="E649" s="204" t="str">
        <f>VLOOKUP(D649,Fontes!$A$6:$H$11629,2,FALSE)</f>
        <v>Manta de lã de vidro</v>
      </c>
      <c r="F649" s="203">
        <v>930</v>
      </c>
      <c r="G649" s="203" t="str">
        <f>VLOOKUP(D649,Fontes!$A$6:$L$11629,3,FALSE)</f>
        <v>m2</v>
      </c>
      <c r="H649" s="203">
        <v>28.992838148378642</v>
      </c>
      <c r="I649" s="203">
        <v>24.160698456982203</v>
      </c>
      <c r="J649" s="203">
        <v>0</v>
      </c>
      <c r="K649" s="316">
        <f t="shared" si="222"/>
        <v>53.15</v>
      </c>
      <c r="L649" s="317">
        <f t="shared" si="223"/>
        <v>49429.5</v>
      </c>
      <c r="M649" s="318">
        <f t="shared" si="221"/>
        <v>1.7900658553529078E-3</v>
      </c>
    </row>
    <row r="650" spans="2:13" s="313" customFormat="1" ht="54" x14ac:dyDescent="0.2">
      <c r="B650" s="314" t="s">
        <v>972</v>
      </c>
      <c r="C650" s="315" t="str">
        <f>VLOOKUP(D650,Fontes!$A$6:$H$11629,8,FALSE)</f>
        <v>Custo Mercado Reajustado</v>
      </c>
      <c r="D650" s="315" t="s">
        <v>1530</v>
      </c>
      <c r="E650" s="204" t="str">
        <f>VLOOKUP(D650,Fontes!$A$6:$H$11629,2,FALSE)</f>
        <v>Suportes, fitas, e acessórios</v>
      </c>
      <c r="F650" s="203">
        <v>1</v>
      </c>
      <c r="G650" s="203" t="str">
        <f>VLOOKUP(D650,Fontes!$A$6:$L$11629,3,FALSE)</f>
        <v>sv</v>
      </c>
      <c r="H650" s="203">
        <v>11677.670920874732</v>
      </c>
      <c r="I650" s="203">
        <v>9342.1367366997856</v>
      </c>
      <c r="J650" s="203">
        <v>0</v>
      </c>
      <c r="K650" s="316">
        <f t="shared" si="222"/>
        <v>21019.81</v>
      </c>
      <c r="L650" s="317">
        <f t="shared" si="223"/>
        <v>21019.81</v>
      </c>
      <c r="M650" s="318">
        <f t="shared" si="221"/>
        <v>7.6122243128102867E-4</v>
      </c>
    </row>
    <row r="651" spans="2:13" s="109" customFormat="1" ht="18" x14ac:dyDescent="0.2">
      <c r="B651" s="114"/>
      <c r="C651" s="115"/>
      <c r="D651" s="115"/>
      <c r="E651" s="116"/>
      <c r="F651" s="117"/>
      <c r="G651" s="117"/>
      <c r="H651" s="117"/>
      <c r="I651" s="117"/>
      <c r="J651" s="117"/>
      <c r="K651" s="118"/>
      <c r="L651" s="119"/>
      <c r="M651" s="120">
        <f t="shared" si="221"/>
        <v>0</v>
      </c>
    </row>
    <row r="652" spans="2:13" s="109" customFormat="1" ht="25.5" customHeight="1" x14ac:dyDescent="0.2">
      <c r="B652" s="217" t="s">
        <v>973</v>
      </c>
      <c r="C652" s="218"/>
      <c r="D652" s="218"/>
      <c r="E652" s="311" t="s">
        <v>411</v>
      </c>
      <c r="F652" s="219"/>
      <c r="G652" s="220"/>
      <c r="H652" s="221"/>
      <c r="I652" s="221"/>
      <c r="J652" s="219"/>
      <c r="K652" s="219"/>
      <c r="L652" s="222">
        <f>SUBTOTAL(9,L653:L679)</f>
        <v>1739107.4</v>
      </c>
      <c r="M652" s="223">
        <f t="shared" si="221"/>
        <v>6.2980948128780814E-2</v>
      </c>
    </row>
    <row r="653" spans="2:13" s="313" customFormat="1" ht="54" x14ac:dyDescent="0.2">
      <c r="B653" s="314" t="s">
        <v>974</v>
      </c>
      <c r="C653" s="315" t="str">
        <f>VLOOKUP(D653,Fontes!$A$6:$H$11629,8,FALSE)</f>
        <v>Custo Mercado Reajustado</v>
      </c>
      <c r="D653" s="315" t="s">
        <v>1531</v>
      </c>
      <c r="E653" s="204" t="str">
        <f>VLOOKUP(D653,Fontes!$A$6:$H$11629,2,FALSE)</f>
        <v>Unidade evaporadora tipo hi-wall para sistema VRV 24.200 btus  - tensão 220 v - gás refrigerante R-410A (ref.: FXAQ63AVM - Daikin ou equivalente)</v>
      </c>
      <c r="F653" s="203">
        <v>4</v>
      </c>
      <c r="G653" s="203" t="str">
        <f>VLOOKUP(D653,Fontes!$A$6:$L$11629,3,FALSE)</f>
        <v>un</v>
      </c>
      <c r="H653" s="203">
        <v>6603.9242449084686</v>
      </c>
      <c r="I653" s="203">
        <v>1691.2488919887539</v>
      </c>
      <c r="J653" s="203">
        <v>0</v>
      </c>
      <c r="K653" s="316">
        <f t="shared" ref="K653:K673" si="224">ROUND(+H653+I653+J653,2)</f>
        <v>8295.17</v>
      </c>
      <c r="L653" s="317">
        <f t="shared" ref="L653:L673" si="225">ROUND(F653*K653,2)</f>
        <v>33180.68</v>
      </c>
      <c r="M653" s="318">
        <f t="shared" si="221"/>
        <v>1.2016225599164694E-3</v>
      </c>
    </row>
    <row r="654" spans="2:13" s="313" customFormat="1" ht="54" x14ac:dyDescent="0.2">
      <c r="B654" s="314" t="s">
        <v>975</v>
      </c>
      <c r="C654" s="315" t="str">
        <f>VLOOKUP(D654,Fontes!$A$6:$H$11629,8,FALSE)</f>
        <v>Custo Mercado Reajustado</v>
      </c>
      <c r="D654" s="315" t="s">
        <v>1532</v>
      </c>
      <c r="E654" s="204" t="str">
        <f>VLOOKUP(D654,Fontes!$A$6:$H$11629,2,FALSE)</f>
        <v>Unidade evaporadora tipo cassete 4 vias para sistema VRV 24.200 btus  - tensão 220 v - gás refrigerante R-410A (ref.: FXFQ63AVM - Daikin ou equivalente)</v>
      </c>
      <c r="F654" s="203">
        <v>1</v>
      </c>
      <c r="G654" s="203" t="str">
        <f>VLOOKUP(D654,Fontes!$A$6:$L$11629,3,FALSE)</f>
        <v>un</v>
      </c>
      <c r="H654" s="203">
        <v>9261.6010751765098</v>
      </c>
      <c r="I654" s="203">
        <v>1691.2488919887539</v>
      </c>
      <c r="J654" s="203">
        <v>0</v>
      </c>
      <c r="K654" s="316">
        <f t="shared" si="224"/>
        <v>10952.85</v>
      </c>
      <c r="L654" s="317">
        <f t="shared" si="225"/>
        <v>10952.85</v>
      </c>
      <c r="M654" s="318">
        <f t="shared" si="221"/>
        <v>3.9665225834374407E-4</v>
      </c>
    </row>
    <row r="655" spans="2:13" s="313" customFormat="1" ht="54" x14ac:dyDescent="0.2">
      <c r="B655" s="314" t="s">
        <v>976</v>
      </c>
      <c r="C655" s="315" t="str">
        <f>VLOOKUP(D655,Fontes!$A$6:$H$11629,8,FALSE)</f>
        <v>Custo Mercado Reajustado</v>
      </c>
      <c r="D655" s="315" t="s">
        <v>1533</v>
      </c>
      <c r="E655" s="204" t="str">
        <f>VLOOKUP(D655,Fontes!$A$6:$H$11629,2,FALSE)</f>
        <v>Unidade evaporadora tipo cassete 4 vias para sistema VRV 30.700 btus  - tensão 220 v - gás refrigerante R-410A (ref.: FXFQ80AVM - Daikin ou equivalente)</v>
      </c>
      <c r="F655" s="203">
        <v>1</v>
      </c>
      <c r="G655" s="203" t="str">
        <f>VLOOKUP(D655,Fontes!$A$6:$L$11629,3,FALSE)</f>
        <v>un</v>
      </c>
      <c r="H655" s="203">
        <v>9615.9579858789166</v>
      </c>
      <c r="I655" s="203">
        <v>1691.2488919887539</v>
      </c>
      <c r="J655" s="203">
        <v>0</v>
      </c>
      <c r="K655" s="316">
        <f t="shared" si="224"/>
        <v>11307.21</v>
      </c>
      <c r="L655" s="317">
        <f t="shared" si="225"/>
        <v>11307.21</v>
      </c>
      <c r="M655" s="318">
        <f t="shared" si="221"/>
        <v>4.0948523736442712E-4</v>
      </c>
    </row>
    <row r="656" spans="2:13" s="313" customFormat="1" ht="54" x14ac:dyDescent="0.2">
      <c r="B656" s="314" t="s">
        <v>977</v>
      </c>
      <c r="C656" s="315" t="str">
        <f>VLOOKUP(D656,Fontes!$A$6:$H$11629,8,FALSE)</f>
        <v>Custo Mercado Reajustado</v>
      </c>
      <c r="D656" s="315" t="s">
        <v>1534</v>
      </c>
      <c r="E656" s="204" t="str">
        <f>VLOOKUP(D656,Fontes!$A$6:$H$11629,2,FALSE)</f>
        <v>Unidade evaporadora tipo cassete 4 vias para sistema VRV 38.200 btus  - tensão 220 v - gás refrigerante R-410A (ref.: FXFQ100AVM - Daikin ou equivalente)</v>
      </c>
      <c r="F656" s="203">
        <v>4</v>
      </c>
      <c r="G656" s="203" t="str">
        <f>VLOOKUP(D656,Fontes!$A$6:$L$11629,3,FALSE)</f>
        <v>un</v>
      </c>
      <c r="H656" s="203">
        <v>10389.100336502346</v>
      </c>
      <c r="I656" s="203">
        <v>1691.2488919887539</v>
      </c>
      <c r="J656" s="203">
        <v>0</v>
      </c>
      <c r="K656" s="316">
        <f t="shared" si="224"/>
        <v>12080.35</v>
      </c>
      <c r="L656" s="317">
        <f t="shared" si="225"/>
        <v>48321.4</v>
      </c>
      <c r="M656" s="318">
        <f t="shared" si="221"/>
        <v>1.7499365403827675E-3</v>
      </c>
    </row>
    <row r="657" spans="2:13" s="313" customFormat="1" ht="54" x14ac:dyDescent="0.2">
      <c r="B657" s="314" t="s">
        <v>978</v>
      </c>
      <c r="C657" s="315" t="str">
        <f>VLOOKUP(D657,Fontes!$A$6:$H$11629,8,FALSE)</f>
        <v>Custo Mercado Reajustado</v>
      </c>
      <c r="D657" s="315" t="s">
        <v>1535</v>
      </c>
      <c r="E657" s="204" t="str">
        <f>VLOOKUP(D657,Fontes!$A$6:$H$11629,2,FALSE)</f>
        <v>Unidade evaporadora tipo built-in dutado para sistema VRV 9.600 btus  - tensão 220 v - gás refrigerante R-410A (ref.: FXQ25PAVE- Daikin ou equivalente)</v>
      </c>
      <c r="F657" s="203">
        <v>1</v>
      </c>
      <c r="G657" s="203" t="str">
        <f>VLOOKUP(D657,Fontes!$A$6:$L$11629,3,FALSE)</f>
        <v>un</v>
      </c>
      <c r="H657" s="203">
        <v>5540.8535128012509</v>
      </c>
      <c r="I657" s="203">
        <v>1691.2488919887539</v>
      </c>
      <c r="J657" s="203">
        <v>0</v>
      </c>
      <c r="K657" s="316">
        <f t="shared" si="224"/>
        <v>7232.1</v>
      </c>
      <c r="L657" s="317">
        <f t="shared" si="225"/>
        <v>7232.1</v>
      </c>
      <c r="M657" s="318">
        <f t="shared" si="221"/>
        <v>2.6190706506231635E-4</v>
      </c>
    </row>
    <row r="658" spans="2:13" s="313" customFormat="1" ht="54" x14ac:dyDescent="0.2">
      <c r="B658" s="314" t="s">
        <v>979</v>
      </c>
      <c r="C658" s="315" t="str">
        <f>VLOOKUP(D658,Fontes!$A$6:$H$11629,8,FALSE)</f>
        <v>Custo Mercado Reajustado</v>
      </c>
      <c r="D658" s="315" t="s">
        <v>1536</v>
      </c>
      <c r="E658" s="204" t="str">
        <f>VLOOKUP(D658,Fontes!$A$6:$H$11629,2,FALSE)</f>
        <v>Unidade evaporadora tipo built-in dutado para sistema VRV 12.300 btus  - tensão 220 v - gás refrigerante R-410A (ref.: FXQ32PAVE - Daikin ou equivalente)</v>
      </c>
      <c r="F658" s="203">
        <v>1</v>
      </c>
      <c r="G658" s="203" t="str">
        <f>VLOOKUP(D658,Fontes!$A$6:$L$11629,3,FALSE)</f>
        <v>un</v>
      </c>
      <c r="H658" s="203">
        <v>5669.7105712384891</v>
      </c>
      <c r="I658" s="203">
        <v>1691.2488919887539</v>
      </c>
      <c r="J658" s="203">
        <v>0</v>
      </c>
      <c r="K658" s="316">
        <f t="shared" si="224"/>
        <v>7360.96</v>
      </c>
      <c r="L658" s="317">
        <f t="shared" si="225"/>
        <v>7360.96</v>
      </c>
      <c r="M658" s="318">
        <f t="shared" si="221"/>
        <v>2.6657366873260991E-4</v>
      </c>
    </row>
    <row r="659" spans="2:13" s="313" customFormat="1" ht="54" x14ac:dyDescent="0.2">
      <c r="B659" s="314" t="s">
        <v>980</v>
      </c>
      <c r="C659" s="315" t="str">
        <f>VLOOKUP(D659,Fontes!$A$6:$H$11629,8,FALSE)</f>
        <v>Custo Mercado Reajustado</v>
      </c>
      <c r="D659" s="315" t="s">
        <v>1537</v>
      </c>
      <c r="E659" s="204" t="str">
        <f>VLOOKUP(D659,Fontes!$A$6:$H$11629,2,FALSE)</f>
        <v>Unidade evaporadora tipo built-in dutado para sistema VRV 15.400  btus  - tensão 220 v - gás refrigerante R-410A (ref.: FXQ40PAVE - Daikin ou equivalente)</v>
      </c>
      <c r="F659" s="203">
        <v>1</v>
      </c>
      <c r="G659" s="203" t="str">
        <f>VLOOKUP(D659,Fontes!$A$6:$L$11629,3,FALSE)</f>
        <v>un</v>
      </c>
      <c r="H659" s="203">
        <v>6764.9955679550158</v>
      </c>
      <c r="I659" s="203">
        <v>1691.2488919887539</v>
      </c>
      <c r="J659" s="203">
        <v>0</v>
      </c>
      <c r="K659" s="316">
        <f t="shared" si="224"/>
        <v>8456.24</v>
      </c>
      <c r="L659" s="317">
        <f t="shared" si="225"/>
        <v>8456.24</v>
      </c>
      <c r="M659" s="318">
        <f t="shared" si="221"/>
        <v>3.0623871349436013E-4</v>
      </c>
    </row>
    <row r="660" spans="2:13" s="313" customFormat="1" ht="54" x14ac:dyDescent="0.2">
      <c r="B660" s="314" t="s">
        <v>981</v>
      </c>
      <c r="C660" s="315" t="str">
        <f>VLOOKUP(D660,Fontes!$A$6:$H$11629,8,FALSE)</f>
        <v>Custo Mercado Reajustado</v>
      </c>
      <c r="D660" s="315" t="s">
        <v>1538</v>
      </c>
      <c r="E660" s="204" t="str">
        <f>VLOOKUP(D660,Fontes!$A$6:$H$11629,2,FALSE)</f>
        <v>Unidade evaporadora tipo built-in dutado para sistema VRV 19.100  btus  - tensão 220 v - gás refrigerante R-410A (ref.: FXQ50PAVE - Daikin ou equivalente)</v>
      </c>
      <c r="F660" s="203">
        <v>2</v>
      </c>
      <c r="G660" s="203" t="str">
        <f>VLOOKUP(D660,Fontes!$A$6:$L$11629,3,FALSE)</f>
        <v>un</v>
      </c>
      <c r="H660" s="203">
        <v>6942.1740233062192</v>
      </c>
      <c r="I660" s="203">
        <v>1691.2488919887539</v>
      </c>
      <c r="J660" s="203">
        <v>0</v>
      </c>
      <c r="K660" s="316">
        <f t="shared" si="224"/>
        <v>8633.42</v>
      </c>
      <c r="L660" s="317">
        <f t="shared" si="225"/>
        <v>17266.84</v>
      </c>
      <c r="M660" s="318">
        <f t="shared" si="221"/>
        <v>6.253104060094033E-4</v>
      </c>
    </row>
    <row r="661" spans="2:13" s="313" customFormat="1" ht="54" x14ac:dyDescent="0.2">
      <c r="B661" s="314" t="s">
        <v>982</v>
      </c>
      <c r="C661" s="315" t="str">
        <f>VLOOKUP(D661,Fontes!$A$6:$H$11629,8,FALSE)</f>
        <v>Custo Mercado Reajustado</v>
      </c>
      <c r="D661" s="315" t="s">
        <v>1540</v>
      </c>
      <c r="E661" s="204" t="str">
        <f>VLOOKUP(D661,Fontes!$A$6:$H$11629,2,FALSE)</f>
        <v>Unidade evaporadora tipo built-in dutado para sistema VRV 24.200  btus  - tensão 220 v - gás refrigerante R-410A (ref.: FXQ63PAVE- Daikin ou equivalente)</v>
      </c>
      <c r="F661" s="203">
        <v>4</v>
      </c>
      <c r="G661" s="203" t="str">
        <f>VLOOKUP(D661,Fontes!$A$6:$L$11629,3,FALSE)</f>
        <v>un</v>
      </c>
      <c r="H661" s="203">
        <v>7103.2453463527672</v>
      </c>
      <c r="I661" s="203">
        <v>1691.2488919887539</v>
      </c>
      <c r="J661" s="203">
        <v>0</v>
      </c>
      <c r="K661" s="316">
        <f t="shared" si="224"/>
        <v>8794.49</v>
      </c>
      <c r="L661" s="317">
        <f t="shared" si="225"/>
        <v>35177.96</v>
      </c>
      <c r="M661" s="318">
        <f t="shared" si="221"/>
        <v>1.2739531060797778E-3</v>
      </c>
    </row>
    <row r="662" spans="2:13" s="313" customFormat="1" ht="54" x14ac:dyDescent="0.2">
      <c r="B662" s="314" t="s">
        <v>983</v>
      </c>
      <c r="C662" s="315" t="str">
        <f>VLOOKUP(D662,Fontes!$A$6:$H$11629,8,FALSE)</f>
        <v>Custo Mercado Reajustado</v>
      </c>
      <c r="D662" s="315" t="s">
        <v>1541</v>
      </c>
      <c r="E662" s="204" t="str">
        <f>VLOOKUP(D662,Fontes!$A$6:$H$11629,2,FALSE)</f>
        <v>Unidade evaporadora tipo built-in dutado para sistema VRV 38.200  btus  - tensão 220 v - gás refrigerante R-410A (ref.: FXQ100PAVE - Daikin ou equivalente)</v>
      </c>
      <c r="F662" s="203">
        <v>15</v>
      </c>
      <c r="G662" s="203" t="str">
        <f>VLOOKUP(D662,Fontes!$A$6:$L$11629,3,FALSE)</f>
        <v>un</v>
      </c>
      <c r="H662" s="203">
        <v>8230.7446076786036</v>
      </c>
      <c r="I662" s="203">
        <v>1691.2488919887539</v>
      </c>
      <c r="J662" s="203">
        <v>0</v>
      </c>
      <c r="K662" s="316">
        <f t="shared" si="224"/>
        <v>9921.99</v>
      </c>
      <c r="L662" s="317">
        <f t="shared" si="225"/>
        <v>148829.85</v>
      </c>
      <c r="M662" s="318">
        <f t="shared" si="221"/>
        <v>5.3898022990783835E-3</v>
      </c>
    </row>
    <row r="663" spans="2:13" s="313" customFormat="1" ht="54" x14ac:dyDescent="0.2">
      <c r="B663" s="314" t="s">
        <v>984</v>
      </c>
      <c r="C663" s="315" t="str">
        <f>VLOOKUP(D663,Fontes!$A$6:$H$11629,8,FALSE)</f>
        <v>Custo Mercado Reajustado</v>
      </c>
      <c r="D663" s="315" t="s">
        <v>1542</v>
      </c>
      <c r="E663" s="204" t="str">
        <f>VLOOKUP(D663,Fontes!$A$6:$H$11629,2,FALSE)</f>
        <v>Unidade evaporadora tipo built-in dutado para sistema VRV 47.800  btus  - tensão 220 v - gás refrigerante R-410A (ref.: FXQ125PAVE - Daikin ou equivalente)</v>
      </c>
      <c r="F663" s="203">
        <v>21</v>
      </c>
      <c r="G663" s="203" t="str">
        <f>VLOOKUP(D663,Fontes!$A$6:$L$11629,3,FALSE)</f>
        <v>un</v>
      </c>
      <c r="H663" s="203">
        <v>8456.2444599437713</v>
      </c>
      <c r="I663" s="203">
        <v>1691.2488919887539</v>
      </c>
      <c r="J663" s="203">
        <v>0</v>
      </c>
      <c r="K663" s="316">
        <f t="shared" si="224"/>
        <v>10147.49</v>
      </c>
      <c r="L663" s="317">
        <f t="shared" si="225"/>
        <v>213097.29</v>
      </c>
      <c r="M663" s="318">
        <f t="shared" si="221"/>
        <v>7.7172171010679181E-3</v>
      </c>
    </row>
    <row r="664" spans="2:13" s="313" customFormat="1" ht="54" x14ac:dyDescent="0.2">
      <c r="B664" s="314" t="s">
        <v>985</v>
      </c>
      <c r="C664" s="315" t="str">
        <f>VLOOKUP(D664,Fontes!$A$6:$H$11629,8,FALSE)</f>
        <v>Custo Mercado Reajustado</v>
      </c>
      <c r="D664" s="315" t="s">
        <v>1543</v>
      </c>
      <c r="E664" s="204" t="str">
        <f>VLOOKUP(D664,Fontes!$A$6:$H$11629,2,FALSE)</f>
        <v>Unidade evaporadora tipo built-in dutado de alta pressão para sistema VRV 76.400  btus  - tensão 220 v - gás refrigerante R-410A (ref.: FXMQ200PVM - Daikin ou equivalente)</v>
      </c>
      <c r="F664" s="203">
        <v>2</v>
      </c>
      <c r="G664" s="203" t="str">
        <f>VLOOKUP(D664,Fontes!$A$6:$L$11629,3,FALSE)</f>
        <v>un</v>
      </c>
      <c r="H664" s="203">
        <v>17266.845830589948</v>
      </c>
      <c r="I664" s="203">
        <v>1691.2488919887539</v>
      </c>
      <c r="J664" s="203">
        <v>0</v>
      </c>
      <c r="K664" s="316">
        <f t="shared" si="224"/>
        <v>18958.09</v>
      </c>
      <c r="L664" s="317">
        <f t="shared" si="225"/>
        <v>37916.18</v>
      </c>
      <c r="M664" s="318">
        <f t="shared" si="221"/>
        <v>1.37311644227465E-3</v>
      </c>
    </row>
    <row r="665" spans="2:13" s="313" customFormat="1" ht="54" x14ac:dyDescent="0.2">
      <c r="B665" s="314" t="s">
        <v>986</v>
      </c>
      <c r="C665" s="315" t="str">
        <f>VLOOKUP(D665,Fontes!$A$6:$H$11629,8,FALSE)</f>
        <v>Custo Mercado Reajustado</v>
      </c>
      <c r="D665" s="315" t="s">
        <v>1544</v>
      </c>
      <c r="E665" s="204" t="str">
        <f>VLOOKUP(D665,Fontes!$A$6:$H$11629,2,FALSE)</f>
        <v>Unidade evaporadora para refrigeração de ar externo com capacidade de 7,5 tr  -  tensão 220 v/3f - gás refrigerante R-410A (ref.: AHUQV250ATL - Daikin ou equivalente)</v>
      </c>
      <c r="F665" s="203">
        <v>1</v>
      </c>
      <c r="G665" s="203" t="str">
        <f>VLOOKUP(D665,Fontes!$A$6:$L$11629,3,FALSE)</f>
        <v>un</v>
      </c>
      <c r="H665" s="203">
        <v>29730.54480793183</v>
      </c>
      <c r="I665" s="203">
        <v>1691.2488919887539</v>
      </c>
      <c r="J665" s="203">
        <v>0</v>
      </c>
      <c r="K665" s="316">
        <f t="shared" si="224"/>
        <v>31421.79</v>
      </c>
      <c r="L665" s="317">
        <f t="shared" si="225"/>
        <v>31421.79</v>
      </c>
      <c r="M665" s="318">
        <f t="shared" si="221"/>
        <v>1.1379251943286792E-3</v>
      </c>
    </row>
    <row r="666" spans="2:13" s="313" customFormat="1" ht="54" x14ac:dyDescent="0.2">
      <c r="B666" s="314" t="s">
        <v>987</v>
      </c>
      <c r="C666" s="315" t="str">
        <f>VLOOKUP(D666,Fontes!$A$6:$H$11629,8,FALSE)</f>
        <v>Custo Mercado Reajustado</v>
      </c>
      <c r="D666" s="315" t="s">
        <v>1545</v>
      </c>
      <c r="E666" s="204" t="str">
        <f>VLOOKUP(D666,Fontes!$A$6:$H$11629,2,FALSE)</f>
        <v>Unidade evaporadora para refrigeração de ar externo com capacidade de 10 tr  -  tensão 220 v/3f - gás refrigerante R-410A (ref.: AHUQV300ATL - Daikin ou equivalente)</v>
      </c>
      <c r="F666" s="203">
        <v>2</v>
      </c>
      <c r="G666" s="203" t="str">
        <f>VLOOKUP(D666,Fontes!$A$6:$L$11629,3,FALSE)</f>
        <v>un</v>
      </c>
      <c r="H666" s="203">
        <v>33824.977839775085</v>
      </c>
      <c r="I666" s="203">
        <v>1691.2488919887539</v>
      </c>
      <c r="J666" s="203">
        <v>0</v>
      </c>
      <c r="K666" s="316">
        <f t="shared" si="224"/>
        <v>35516.230000000003</v>
      </c>
      <c r="L666" s="317">
        <f t="shared" si="225"/>
        <v>71032.460000000006</v>
      </c>
      <c r="M666" s="318">
        <f t="shared" si="221"/>
        <v>2.5724067867917179E-3</v>
      </c>
    </row>
    <row r="667" spans="2:13" s="313" customFormat="1" ht="72" x14ac:dyDescent="0.2">
      <c r="B667" s="314" t="s">
        <v>988</v>
      </c>
      <c r="C667" s="315" t="str">
        <f>VLOOKUP(D667,Fontes!$A$6:$H$11629,8,FALSE)</f>
        <v>Custo Mercado Reajustado</v>
      </c>
      <c r="D667" s="315" t="s">
        <v>1546</v>
      </c>
      <c r="E667" s="204" t="str">
        <f>VLOOKUP(D667,Fontes!$A$6:$H$11629,2,FALSE)</f>
        <v>Unidade condensadora do sistema de expansão direta, tipo VRV condensador axial com descarga para cima, capacidade térmica de 95.500 btu/h  -  tensão 220 v - gás refrigerante R-410A (ref.: RHXYQ10ATL - Daikin ou equivalente)</v>
      </c>
      <c r="F667" s="203">
        <v>1</v>
      </c>
      <c r="G667" s="203" t="str">
        <f>VLOOKUP(D667,Fontes!$A$6:$L$11629,3,FALSE)</f>
        <v>un</v>
      </c>
      <c r="H667" s="203">
        <v>50334.788452046261</v>
      </c>
      <c r="I667" s="203">
        <v>1691.2488919887539</v>
      </c>
      <c r="J667" s="203">
        <v>0</v>
      </c>
      <c r="K667" s="316">
        <f t="shared" si="224"/>
        <v>52026.04</v>
      </c>
      <c r="L667" s="317">
        <f t="shared" si="225"/>
        <v>52026.04</v>
      </c>
      <c r="M667" s="318">
        <f t="shared" si="221"/>
        <v>1.8840983176690964E-3</v>
      </c>
    </row>
    <row r="668" spans="2:13" s="313" customFormat="1" ht="72" x14ac:dyDescent="0.2">
      <c r="B668" s="314" t="s">
        <v>989</v>
      </c>
      <c r="C668" s="315" t="str">
        <f>VLOOKUP(D668,Fontes!$A$6:$H$11629,8,FALSE)</f>
        <v>Custo Mercado Reajustado</v>
      </c>
      <c r="D668" s="315" t="s">
        <v>1547</v>
      </c>
      <c r="E668" s="204" t="str">
        <f>VLOOKUP(D668,Fontes!$A$6:$H$11629,2,FALSE)</f>
        <v>Unidade condensadora do sistema de expansão direta, tipo VRV condensador axial com descarga para cima, capacidade térmica de 114.000 btu/h  -  tensão 220 v - gás refrigerante R-410A (ref.: RHXYQ12ATK - Daikin ou equivalente)</v>
      </c>
      <c r="F668" s="203">
        <v>2</v>
      </c>
      <c r="G668" s="203" t="str">
        <f>VLOOKUP(D668,Fontes!$A$6:$L$11629,3,FALSE)</f>
        <v>un</v>
      </c>
      <c r="H668" s="203">
        <v>51397.859184153473</v>
      </c>
      <c r="I668" s="203">
        <v>1691.2488919887539</v>
      </c>
      <c r="J668" s="203">
        <v>0</v>
      </c>
      <c r="K668" s="316">
        <f t="shared" si="224"/>
        <v>53089.11</v>
      </c>
      <c r="L668" s="317">
        <f t="shared" si="225"/>
        <v>106178.22</v>
      </c>
      <c r="M668" s="318">
        <f t="shared" si="221"/>
        <v>3.8451937851717946E-3</v>
      </c>
    </row>
    <row r="669" spans="2:13" s="313" customFormat="1" ht="72" x14ac:dyDescent="0.2">
      <c r="B669" s="314" t="s">
        <v>990</v>
      </c>
      <c r="C669" s="315" t="str">
        <f>VLOOKUP(D669,Fontes!$A$6:$H$11629,8,FALSE)</f>
        <v>Custo Mercado Reajustado</v>
      </c>
      <c r="D669" s="315" t="s">
        <v>1548</v>
      </c>
      <c r="E669" s="204" t="str">
        <f>VLOOKUP(D669,Fontes!$A$6:$H$11629,2,FALSE)</f>
        <v>Unidade condensadora do sistema de expansão direta, tipo VRV condensador axial com descarga para cima, capacidade térmica de 249.000 btu/h  -  tensão 220 v - gás refrigerante R-410A (ref.: RHXYQ26ATL - Daikin ou equivalente)</v>
      </c>
      <c r="F669" s="203">
        <v>1</v>
      </c>
      <c r="G669" s="203" t="str">
        <f>VLOOKUP(D669,Fontes!$A$6:$L$11629,3,FALSE)</f>
        <v>un</v>
      </c>
      <c r="H669" s="203">
        <v>96932.72220941259</v>
      </c>
      <c r="I669" s="203">
        <v>1691.2488919887539</v>
      </c>
      <c r="J669" s="203">
        <v>0</v>
      </c>
      <c r="K669" s="316">
        <f t="shared" si="224"/>
        <v>98623.97</v>
      </c>
      <c r="L669" s="317">
        <f t="shared" si="225"/>
        <v>98623.97</v>
      </c>
      <c r="M669" s="318">
        <f t="shared" si="221"/>
        <v>3.5716202109337446E-3</v>
      </c>
    </row>
    <row r="670" spans="2:13" s="313" customFormat="1" ht="72" x14ac:dyDescent="0.2">
      <c r="B670" s="314" t="s">
        <v>991</v>
      </c>
      <c r="C670" s="315" t="str">
        <f>VLOOKUP(D670,Fontes!$A$6:$H$11629,8,FALSE)</f>
        <v>Custo Mercado Reajustado</v>
      </c>
      <c r="D670" s="315" t="s">
        <v>1549</v>
      </c>
      <c r="E670" s="204" t="str">
        <f>VLOOKUP(D670,Fontes!$A$6:$H$11629,2,FALSE)</f>
        <v>Unidade condensadora do sistema de expansão direta, tipo VRV condensador axial com descarga para cima, capacidade térmica de 278.000 btu/h  -  tensão 220 v - gás refrigerante R-410A (ref.: RHXYQ30ATL - Daikin ou equivalente)</v>
      </c>
      <c r="F670" s="203">
        <v>2</v>
      </c>
      <c r="G670" s="203" t="str">
        <f>VLOOKUP(D670,Fontes!$A$6:$L$11629,3,FALSE)</f>
        <v>un</v>
      </c>
      <c r="H670" s="203">
        <v>99058.863673627042</v>
      </c>
      <c r="I670" s="203">
        <v>1691.2488919887539</v>
      </c>
      <c r="J670" s="203">
        <v>0</v>
      </c>
      <c r="K670" s="316">
        <f t="shared" si="224"/>
        <v>100750.11</v>
      </c>
      <c r="L670" s="317">
        <f t="shared" si="225"/>
        <v>201500.22</v>
      </c>
      <c r="M670" s="318">
        <f t="shared" si="221"/>
        <v>7.2972347215346928E-3</v>
      </c>
    </row>
    <row r="671" spans="2:13" s="313" customFormat="1" ht="72" x14ac:dyDescent="0.2">
      <c r="B671" s="314" t="s">
        <v>992</v>
      </c>
      <c r="C671" s="315" t="str">
        <f>VLOOKUP(D671,Fontes!$A$6:$H$11629,8,FALSE)</f>
        <v>Custo Mercado Reajustado</v>
      </c>
      <c r="D671" s="315" t="s">
        <v>1550</v>
      </c>
      <c r="E671" s="204" t="str">
        <f>VLOOKUP(D671,Fontes!$A$6:$H$11629,2,FALSE)</f>
        <v>Unidade condensadora do sistema de expansão direta, tipo VRV condensador axial com descarga para cima, capacidade térmica de 338.000 btu/h  -  tensão 220 v - gás refrigerante R-410A (ref.: RHXYQ36ATL - Daikin ou equivalente)</v>
      </c>
      <c r="F671" s="203">
        <v>1</v>
      </c>
      <c r="G671" s="203" t="str">
        <f>VLOOKUP(D671,Fontes!$A$6:$L$11629,3,FALSE)</f>
        <v>un</v>
      </c>
      <c r="H671" s="203">
        <v>140824.65773959694</v>
      </c>
      <c r="I671" s="203">
        <v>1691.2488919887539</v>
      </c>
      <c r="J671" s="203">
        <v>0</v>
      </c>
      <c r="K671" s="316">
        <f t="shared" si="224"/>
        <v>142515.91</v>
      </c>
      <c r="L671" s="317">
        <f t="shared" si="225"/>
        <v>142515.91</v>
      </c>
      <c r="M671" s="318">
        <f t="shared" ref="M671:M702" si="226">+L671/$L$851</f>
        <v>5.1611459621389664E-3</v>
      </c>
    </row>
    <row r="672" spans="2:13" s="313" customFormat="1" ht="72" x14ac:dyDescent="0.2">
      <c r="B672" s="314" t="s">
        <v>993</v>
      </c>
      <c r="C672" s="315" t="str">
        <f>VLOOKUP(D672,Fontes!$A$6:$H$11629,8,FALSE)</f>
        <v>Custo Mercado Reajustado</v>
      </c>
      <c r="D672" s="315" t="s">
        <v>1551</v>
      </c>
      <c r="E672" s="204" t="str">
        <f>VLOOKUP(D672,Fontes!$A$6:$H$11629,2,FALSE)</f>
        <v>Unidade condensadora do sistema de expansão direta, tipo VRV condensador axial com descarga para cima, capacidade térmica de 355.000 btu/h  -  tensão 220 v - gás refrigerante R-410A (ref.: RHXYQ38ATL - Daikin ou equivalente)</v>
      </c>
      <c r="F672" s="203">
        <v>1</v>
      </c>
      <c r="G672" s="203" t="str">
        <f>VLOOKUP(D672,Fontes!$A$6:$L$11629,3,FALSE)</f>
        <v>un</v>
      </c>
      <c r="H672" s="203">
        <v>146961.47514767043</v>
      </c>
      <c r="I672" s="203">
        <v>1691.2488919887539</v>
      </c>
      <c r="J672" s="203">
        <v>0</v>
      </c>
      <c r="K672" s="316">
        <f t="shared" si="224"/>
        <v>148652.72</v>
      </c>
      <c r="L672" s="317">
        <f t="shared" si="225"/>
        <v>148652.72</v>
      </c>
      <c r="M672" s="318">
        <f t="shared" si="226"/>
        <v>5.3833876202942837E-3</v>
      </c>
    </row>
    <row r="673" spans="2:13" s="313" customFormat="1" ht="72" x14ac:dyDescent="0.2">
      <c r="B673" s="314" t="s">
        <v>994</v>
      </c>
      <c r="C673" s="315" t="str">
        <f>VLOOKUP(D673,Fontes!$A$6:$H$11629,8,FALSE)</f>
        <v>Custo Mercado Reajustado</v>
      </c>
      <c r="D673" s="315" t="s">
        <v>1552</v>
      </c>
      <c r="E673" s="204" t="str">
        <f>VLOOKUP(D673,Fontes!$A$6:$H$11629,2,FALSE)</f>
        <v>Unidade condensadora do sistema de expansão direta, tipo VRV condensador axial com descarga para cima, capacidade térmica de 372.000 btu/h  -  tensão 220 v - gás refrigerante R-410A (ref.: RHXYQ40ATL - Daikin ou equivalente)</v>
      </c>
      <c r="F673" s="203">
        <v>1</v>
      </c>
      <c r="G673" s="203" t="str">
        <f>VLOOKUP(D673,Fontes!$A$6:$L$11629,3,FALSE)</f>
        <v>un</v>
      </c>
      <c r="H673" s="203">
        <v>168673.88949434509</v>
      </c>
      <c r="I673" s="203">
        <v>1691.2488919887539</v>
      </c>
      <c r="J673" s="203">
        <v>0</v>
      </c>
      <c r="K673" s="316">
        <f t="shared" si="224"/>
        <v>170365.14</v>
      </c>
      <c r="L673" s="317">
        <f t="shared" si="225"/>
        <v>170365.14</v>
      </c>
      <c r="M673" s="318">
        <f t="shared" si="226"/>
        <v>6.1696925936215808E-3</v>
      </c>
    </row>
    <row r="674" spans="2:13" s="313" customFormat="1" ht="54" x14ac:dyDescent="0.2">
      <c r="B674" s="314" t="s">
        <v>2322</v>
      </c>
      <c r="C674" s="315" t="str">
        <f>VLOOKUP(D674,Fontes!$A$6:$H$11629,8,FALSE)</f>
        <v>Custo Mercado Reajustado</v>
      </c>
      <c r="D674" s="315" t="s">
        <v>2182</v>
      </c>
      <c r="E674" s="204" t="str">
        <f>VLOOKUP(D674,Fontes!$A$6:$H$11629,2,FALSE)</f>
        <v>Unidade evaporadora tipo hi-wall para sistema split 12.000 btus  - tensão 220 v - gás refrigerante r-410a (ref.: asbg12jmca - fujitsu</v>
      </c>
      <c r="F674" s="203">
        <v>6</v>
      </c>
      <c r="G674" s="203" t="str">
        <f>VLOOKUP(D674,Fontes!$A$6:$L$11629,3,FALSE)</f>
        <v>un</v>
      </c>
      <c r="H674" s="203">
        <v>2720.8726200000006</v>
      </c>
      <c r="I674" s="203">
        <v>1217.9950000000001</v>
      </c>
      <c r="J674" s="203">
        <v>0</v>
      </c>
      <c r="K674" s="316">
        <f t="shared" ref="K674:K679" si="227">ROUND(+H674+I674+J674,2)</f>
        <v>3938.87</v>
      </c>
      <c r="L674" s="317">
        <f t="shared" ref="L674:L679" si="228">ROUND(F674*K674,2)</f>
        <v>23633.22</v>
      </c>
      <c r="M674" s="318">
        <f t="shared" si="226"/>
        <v>8.5586583263119092E-4</v>
      </c>
    </row>
    <row r="675" spans="2:13" s="313" customFormat="1" ht="54" x14ac:dyDescent="0.2">
      <c r="B675" s="314" t="s">
        <v>2323</v>
      </c>
      <c r="C675" s="315" t="str">
        <f>VLOOKUP(D675,Fontes!$A$6:$H$11629,8,FALSE)</f>
        <v>Custo Mercado Reajustado</v>
      </c>
      <c r="D675" s="315" t="s">
        <v>2183</v>
      </c>
      <c r="E675" s="204" t="str">
        <f>VLOOKUP(D675,Fontes!$A$6:$H$11629,2,FALSE)</f>
        <v>Unidade condensadora descarga horiz.  para sistema split 12.000 btus  - tensão 220 v - gás refrigerante r-410a (ref.:aobg12jmca - fujitsu</v>
      </c>
      <c r="F675" s="203">
        <v>6</v>
      </c>
      <c r="G675" s="203" t="str">
        <f>VLOOKUP(D675,Fontes!$A$6:$L$11629,3,FALSE)</f>
        <v>un</v>
      </c>
      <c r="H675" s="203">
        <v>3208.9680900000003</v>
      </c>
      <c r="I675" s="203">
        <v>1217.9950000000001</v>
      </c>
      <c r="J675" s="203">
        <v>0</v>
      </c>
      <c r="K675" s="316">
        <f t="shared" si="227"/>
        <v>4426.96</v>
      </c>
      <c r="L675" s="317">
        <f t="shared" si="228"/>
        <v>26561.759999999998</v>
      </c>
      <c r="M675" s="318">
        <f t="shared" si="226"/>
        <v>9.6192151719274221E-4</v>
      </c>
    </row>
    <row r="676" spans="2:13" s="313" customFormat="1" ht="54" x14ac:dyDescent="0.2">
      <c r="B676" s="314" t="s">
        <v>2324</v>
      </c>
      <c r="C676" s="315" t="str">
        <f>VLOOKUP(D676,Fontes!$A$6:$H$11629,8,FALSE)</f>
        <v>Custo Mercado Reajustado</v>
      </c>
      <c r="D676" s="315" t="s">
        <v>2184</v>
      </c>
      <c r="E676" s="204" t="str">
        <f>VLOOKUP(D676,Fontes!$A$6:$H$11629,2,FALSE)</f>
        <v>Exaustor centrífugo de simples aspiração sirocco com vazão de 990 m3/h, p.e.d.= 40mmca  motor de 0,5 hp 220v/3f/60hz. sem filtro. ref.: iss-200 projelmec</v>
      </c>
      <c r="F676" s="203">
        <v>1</v>
      </c>
      <c r="G676" s="203" t="str">
        <f>VLOOKUP(D676,Fontes!$A$6:$L$11629,3,FALSE)</f>
        <v>un</v>
      </c>
      <c r="H676" s="203">
        <v>6770.0008400000006</v>
      </c>
      <c r="I676" s="203">
        <v>1826.9925000000001</v>
      </c>
      <c r="J676" s="203">
        <v>0</v>
      </c>
      <c r="K676" s="316">
        <f t="shared" si="227"/>
        <v>8596.99</v>
      </c>
      <c r="L676" s="317">
        <f t="shared" si="228"/>
        <v>8596.99</v>
      </c>
      <c r="M676" s="318">
        <f t="shared" si="226"/>
        <v>3.1133590786494694E-4</v>
      </c>
    </row>
    <row r="677" spans="2:13" s="313" customFormat="1" ht="54" x14ac:dyDescent="0.2">
      <c r="B677" s="314" t="s">
        <v>2325</v>
      </c>
      <c r="C677" s="315" t="str">
        <f>VLOOKUP(D677,Fontes!$A$6:$H$11629,8,FALSE)</f>
        <v>Custo Mercado Reajustado</v>
      </c>
      <c r="D677" s="315" t="s">
        <v>2185</v>
      </c>
      <c r="E677" s="204" t="str">
        <f>VLOOKUP(D677,Fontes!$A$6:$H$11629,2,FALSE)</f>
        <v>Exaustor centrífugo de simples aspiração sirocco  com vazão de 5.580 m3/h, p.e.d.= 80mmca motor de 4,0 hp 220v/3f/60hz. sem filtro. ref.: iss-400 projelmec</v>
      </c>
      <c r="F677" s="203">
        <v>2</v>
      </c>
      <c r="G677" s="203" t="str">
        <f>VLOOKUP(D677,Fontes!$A$6:$L$11629,3,FALSE)</f>
        <v>un</v>
      </c>
      <c r="H677" s="203">
        <v>16028.301360000001</v>
      </c>
      <c r="I677" s="203">
        <v>1826.9925000000001</v>
      </c>
      <c r="J677" s="203">
        <v>0</v>
      </c>
      <c r="K677" s="316">
        <f t="shared" si="227"/>
        <v>17855.29</v>
      </c>
      <c r="L677" s="317">
        <f t="shared" si="228"/>
        <v>35710.58</v>
      </c>
      <c r="M677" s="318">
        <f t="shared" si="226"/>
        <v>1.2932416862976247E-3</v>
      </c>
    </row>
    <row r="678" spans="2:13" s="313" customFormat="1" ht="54" x14ac:dyDescent="0.2">
      <c r="B678" s="314" t="s">
        <v>2326</v>
      </c>
      <c r="C678" s="315" t="str">
        <f>VLOOKUP(D678,Fontes!$A$6:$H$11629,8,FALSE)</f>
        <v>Custo Mercado Reajustado</v>
      </c>
      <c r="D678" s="315" t="s">
        <v>2186</v>
      </c>
      <c r="E678" s="204" t="str">
        <f>VLOOKUP(D678,Fontes!$A$6:$H$11629,2,FALSE)</f>
        <v>Gabinete de exaustão/ventilação de dupla aspiração sirocco com vazão de 3.060 m3/h, p.e.d.= 25mmca motor de 1,0 hp 220v/3f/60hz. sem filtro. ref.: csd-250 projelmec</v>
      </c>
      <c r="F678" s="203">
        <v>2</v>
      </c>
      <c r="G678" s="203" t="str">
        <f>VLOOKUP(D678,Fontes!$A$6:$L$11629,3,FALSE)</f>
        <v>un</v>
      </c>
      <c r="H678" s="203">
        <v>7519.5164999999997</v>
      </c>
      <c r="I678" s="203">
        <v>1397.489</v>
      </c>
      <c r="J678" s="203">
        <v>0</v>
      </c>
      <c r="K678" s="316">
        <f t="shared" si="227"/>
        <v>8917.01</v>
      </c>
      <c r="L678" s="317">
        <f t="shared" si="228"/>
        <v>17834.02</v>
      </c>
      <c r="M678" s="318">
        <f t="shared" si="226"/>
        <v>6.4585056020556282E-4</v>
      </c>
    </row>
    <row r="679" spans="2:13" s="313" customFormat="1" ht="54" x14ac:dyDescent="0.2">
      <c r="B679" s="314" t="s">
        <v>2327</v>
      </c>
      <c r="C679" s="315" t="str">
        <f>VLOOKUP(D679,Fontes!$A$6:$H$11629,8,FALSE)</f>
        <v>Custo Mercado Reajustado</v>
      </c>
      <c r="D679" s="315" t="s">
        <v>2187</v>
      </c>
      <c r="E679" s="204" t="str">
        <f>VLOOKUP(D679,Fontes!$A$6:$H$11629,2,FALSE)</f>
        <v>Gabinete de exaustão/ventilação de dupla aspiração sirocco com vazão de 4.700 m3/h, p.e.d.= 25mmca  motor de 1,5 hp 220v/3f/60hz. sem filtro. ref.: csd-355 projelmec</v>
      </c>
      <c r="F679" s="203">
        <v>2</v>
      </c>
      <c r="G679" s="203" t="str">
        <f>VLOOKUP(D679,Fontes!$A$6:$L$11629,3,FALSE)</f>
        <v>un</v>
      </c>
      <c r="H679" s="203">
        <v>11279.915800000001</v>
      </c>
      <c r="I679" s="203">
        <v>1397.489</v>
      </c>
      <c r="J679" s="203">
        <v>0</v>
      </c>
      <c r="K679" s="316">
        <f t="shared" si="227"/>
        <v>12677.4</v>
      </c>
      <c r="L679" s="317">
        <f t="shared" si="228"/>
        <v>25354.799999999999</v>
      </c>
      <c r="M679" s="318">
        <f t="shared" si="226"/>
        <v>9.1821203429737111E-4</v>
      </c>
    </row>
    <row r="680" spans="2:13" s="109" customFormat="1" ht="18" x14ac:dyDescent="0.2">
      <c r="B680" s="114"/>
      <c r="C680" s="115"/>
      <c r="D680" s="115"/>
      <c r="E680" s="116"/>
      <c r="F680" s="117"/>
      <c r="G680" s="117"/>
      <c r="H680" s="117"/>
      <c r="I680" s="117"/>
      <c r="J680" s="117"/>
      <c r="K680" s="118"/>
      <c r="L680" s="119"/>
      <c r="M680" s="120">
        <f t="shared" si="226"/>
        <v>0</v>
      </c>
    </row>
    <row r="681" spans="2:13" s="109" customFormat="1" ht="25.5" customHeight="1" x14ac:dyDescent="0.2">
      <c r="B681" s="217" t="s">
        <v>995</v>
      </c>
      <c r="C681" s="218"/>
      <c r="D681" s="218"/>
      <c r="E681" s="311" t="s">
        <v>489</v>
      </c>
      <c r="F681" s="219"/>
      <c r="G681" s="220" t="s">
        <v>491</v>
      </c>
      <c r="H681" s="221"/>
      <c r="I681" s="221"/>
      <c r="J681" s="219"/>
      <c r="K681" s="219"/>
      <c r="L681" s="222">
        <f>SUBTOTAL(9,L682:L684)</f>
        <v>98290.549999999988</v>
      </c>
      <c r="M681" s="223">
        <f t="shared" si="226"/>
        <v>3.5595455640631147E-3</v>
      </c>
    </row>
    <row r="682" spans="2:13" s="313" customFormat="1" ht="54" x14ac:dyDescent="0.2">
      <c r="B682" s="314" t="s">
        <v>996</v>
      </c>
      <c r="C682" s="315" t="str">
        <f>VLOOKUP(D682,Fontes!$A$6:$H$11629,8,FALSE)</f>
        <v>Custo Mercado Reajustado</v>
      </c>
      <c r="D682" s="315" t="s">
        <v>1553</v>
      </c>
      <c r="E682" s="204" t="str">
        <f>VLOOKUP(D682,Fontes!$A$6:$H$11629,2,FALSE)</f>
        <v xml:space="preserve">Alimentação elétrica completa com eletrodutos, fiações, conexões entre ponto de força e unidades condensadoras e evaporadoras </v>
      </c>
      <c r="F682" s="203">
        <v>1</v>
      </c>
      <c r="G682" s="203" t="str">
        <f>VLOOKUP(D682,Fontes!$A$6:$L$11629,3,FALSE)</f>
        <v>sv</v>
      </c>
      <c r="H682" s="203">
        <v>22100.596235216854</v>
      </c>
      <c r="I682" s="203">
        <v>19546.005051698598</v>
      </c>
      <c r="J682" s="203">
        <v>0</v>
      </c>
      <c r="K682" s="316">
        <f t="shared" ref="K682:K684" si="229">ROUND(+H682+I682+J682,2)</f>
        <v>41646.6</v>
      </c>
      <c r="L682" s="317">
        <f t="shared" ref="L682:L684" si="230">ROUND(F682*K682,2)</f>
        <v>41646.6</v>
      </c>
      <c r="M682" s="318">
        <f t="shared" si="226"/>
        <v>1.5082118300112364E-3</v>
      </c>
    </row>
    <row r="683" spans="2:13" s="313" customFormat="1" ht="54" x14ac:dyDescent="0.2">
      <c r="B683" s="314" t="s">
        <v>997</v>
      </c>
      <c r="C683" s="315" t="str">
        <f>VLOOKUP(D683,Fontes!$A$6:$H$11629,8,FALSE)</f>
        <v>Custo Mercado Reajustado</v>
      </c>
      <c r="D683" s="315" t="s">
        <v>1554</v>
      </c>
      <c r="E683" s="204" t="str">
        <f>VLOOKUP(D683,Fontes!$A$6:$H$11629,2,FALSE)</f>
        <v>Interligação elétrica de força e comando de unidades evaporadoras, completas de cabos de força e comando e automação</v>
      </c>
      <c r="F683" s="203">
        <v>1</v>
      </c>
      <c r="G683" s="203" t="str">
        <f>VLOOKUP(D683,Fontes!$A$6:$L$11629,3,FALSE)</f>
        <v>sv</v>
      </c>
      <c r="H683" s="203">
        <v>20451.2258872202</v>
      </c>
      <c r="I683" s="203">
        <v>18759.976995231445</v>
      </c>
      <c r="J683" s="203">
        <v>0</v>
      </c>
      <c r="K683" s="316">
        <f t="shared" si="229"/>
        <v>39211.199999999997</v>
      </c>
      <c r="L683" s="317">
        <f t="shared" si="230"/>
        <v>39211.199999999997</v>
      </c>
      <c r="M683" s="318">
        <f t="shared" si="226"/>
        <v>1.4200149762270292E-3</v>
      </c>
    </row>
    <row r="684" spans="2:13" s="313" customFormat="1" ht="54" x14ac:dyDescent="0.2">
      <c r="B684" s="314" t="s">
        <v>998</v>
      </c>
      <c r="C684" s="315" t="str">
        <f>VLOOKUP(D684,Fontes!$A$6:$H$11629,8,FALSE)</f>
        <v>Custo Mercado Reajustado</v>
      </c>
      <c r="D684" s="315" t="s">
        <v>1555</v>
      </c>
      <c r="E684" s="204" t="str">
        <f>VLOOKUP(D684,Fontes!$A$6:$H$11629,2,FALSE)</f>
        <v>Painel de comando e supervisão geral de unidades condensadoras+evaporadoras</v>
      </c>
      <c r="F684" s="203">
        <v>1</v>
      </c>
      <c r="G684" s="203" t="str">
        <f>VLOOKUP(D684,Fontes!$A$6:$L$11629,3,FALSE)</f>
        <v>sv</v>
      </c>
      <c r="H684" s="203">
        <v>15024.733013781999</v>
      </c>
      <c r="I684" s="203">
        <v>2408.0162795458923</v>
      </c>
      <c r="J684" s="203">
        <v>0</v>
      </c>
      <c r="K684" s="316">
        <f t="shared" si="229"/>
        <v>17432.75</v>
      </c>
      <c r="L684" s="317">
        <f t="shared" si="230"/>
        <v>17432.75</v>
      </c>
      <c r="M684" s="318">
        <f t="shared" si="226"/>
        <v>6.313187578248496E-4</v>
      </c>
    </row>
    <row r="685" spans="2:13" s="109" customFormat="1" ht="18" x14ac:dyDescent="0.2">
      <c r="B685" s="114"/>
      <c r="C685" s="115"/>
      <c r="D685" s="115"/>
      <c r="E685" s="116"/>
      <c r="F685" s="117"/>
      <c r="G685" s="117"/>
      <c r="H685" s="117"/>
      <c r="I685" s="117"/>
      <c r="J685" s="117"/>
      <c r="K685" s="118"/>
      <c r="L685" s="119"/>
      <c r="M685" s="120">
        <f t="shared" si="226"/>
        <v>0</v>
      </c>
    </row>
    <row r="686" spans="2:13" s="109" customFormat="1" ht="25.5" customHeight="1" x14ac:dyDescent="0.2">
      <c r="B686" s="217" t="s">
        <v>999</v>
      </c>
      <c r="C686" s="218"/>
      <c r="D686" s="218"/>
      <c r="E686" s="311" t="s">
        <v>490</v>
      </c>
      <c r="F686" s="219"/>
      <c r="G686" s="220"/>
      <c r="H686" s="221"/>
      <c r="I686" s="221"/>
      <c r="J686" s="219"/>
      <c r="K686" s="219"/>
      <c r="L686" s="222">
        <f>SUBTOTAL(9,L687:L694)</f>
        <v>145125.26999999999</v>
      </c>
      <c r="M686" s="223">
        <f t="shared" si="226"/>
        <v>5.2556426946635442E-3</v>
      </c>
    </row>
    <row r="687" spans="2:13" s="313" customFormat="1" ht="54" x14ac:dyDescent="0.2">
      <c r="B687" s="314" t="s">
        <v>1000</v>
      </c>
      <c r="C687" s="315" t="str">
        <f>VLOOKUP(D687,Fontes!$A$6:$H$11629,8,FALSE)</f>
        <v>Custo Mercado Reajustado</v>
      </c>
      <c r="D687" s="315" t="s">
        <v>1556</v>
      </c>
      <c r="E687" s="204" t="str">
        <f>VLOOKUP(D687,Fontes!$A$6:$H$11629,2,FALSE)</f>
        <v xml:space="preserve">Lastros de neoprene + perfil metálico para instalação das unidades condensadoras </v>
      </c>
      <c r="F687" s="203">
        <v>1</v>
      </c>
      <c r="G687" s="203" t="str">
        <f>VLOOKUP(D687,Fontes!$A$6:$L$11629,3,FALSE)</f>
        <v>cj</v>
      </c>
      <c r="H687" s="203">
        <v>4187.8543992102486</v>
      </c>
      <c r="I687" s="203">
        <v>3785.1760915938785</v>
      </c>
      <c r="J687" s="203">
        <v>0</v>
      </c>
      <c r="K687" s="316">
        <f t="shared" ref="K687:K694" si="231">ROUND(+H687+I687+J687,2)</f>
        <v>7973.03</v>
      </c>
      <c r="L687" s="317">
        <f t="shared" ref="L687:L694" si="232">ROUND(F687*K687,2)</f>
        <v>7973.03</v>
      </c>
      <c r="M687" s="318">
        <f t="shared" si="226"/>
        <v>2.8873949294863177E-4</v>
      </c>
    </row>
    <row r="688" spans="2:13" s="313" customFormat="1" ht="54" x14ac:dyDescent="0.2">
      <c r="B688" s="314" t="s">
        <v>1001</v>
      </c>
      <c r="C688" s="315" t="str">
        <f>VLOOKUP(D688,Fontes!$A$6:$H$11629,8,FALSE)</f>
        <v>Custo Mercado Reajustado</v>
      </c>
      <c r="D688" s="315" t="s">
        <v>1557</v>
      </c>
      <c r="E688" s="204" t="str">
        <f>VLOOKUP(D688,Fontes!$A$6:$H$11629,2,FALSE)</f>
        <v>Transporte horizontal/vertical, fretes, e seguros</v>
      </c>
      <c r="F688" s="203">
        <v>1</v>
      </c>
      <c r="G688" s="203" t="str">
        <f>VLOOKUP(D688,Fontes!$A$6:$L$11629,3,FALSE)</f>
        <v>sv</v>
      </c>
      <c r="H688" s="203">
        <v>0</v>
      </c>
      <c r="I688" s="203">
        <v>29314.98079447174</v>
      </c>
      <c r="J688" s="203">
        <v>0</v>
      </c>
      <c r="K688" s="316">
        <f t="shared" si="231"/>
        <v>29314.98</v>
      </c>
      <c r="L688" s="317">
        <f t="shared" si="232"/>
        <v>29314.98</v>
      </c>
      <c r="M688" s="318">
        <f t="shared" si="226"/>
        <v>1.061628071260146E-3</v>
      </c>
    </row>
    <row r="689" spans="2:13" s="313" customFormat="1" ht="54" x14ac:dyDescent="0.2">
      <c r="B689" s="314" t="s">
        <v>1002</v>
      </c>
      <c r="C689" s="315" t="str">
        <f>VLOOKUP(D689,Fontes!$A$6:$H$11629,8,FALSE)</f>
        <v>Custo Mercado Reajustado</v>
      </c>
      <c r="D689" s="315" t="s">
        <v>1558</v>
      </c>
      <c r="E689" s="204" t="str">
        <f>VLOOKUP(D689,Fontes!$A$6:$H$11629,2,FALSE)</f>
        <v xml:space="preserve">Projeto "as-built", manual de operação e manutenção  </v>
      </c>
      <c r="F689" s="203">
        <v>1</v>
      </c>
      <c r="G689" s="203" t="str">
        <f>VLOOKUP(D689,Fontes!$A$6:$L$11629,3,FALSE)</f>
        <v>sv</v>
      </c>
      <c r="H689" s="203">
        <v>0</v>
      </c>
      <c r="I689" s="203">
        <v>20536.59368843487</v>
      </c>
      <c r="J689" s="203">
        <v>0</v>
      </c>
      <c r="K689" s="316">
        <f t="shared" si="231"/>
        <v>20536.59</v>
      </c>
      <c r="L689" s="317">
        <f t="shared" si="232"/>
        <v>20536.59</v>
      </c>
      <c r="M689" s="318">
        <f t="shared" si="226"/>
        <v>7.4372284859005201E-4</v>
      </c>
    </row>
    <row r="690" spans="2:13" s="313" customFormat="1" ht="54" x14ac:dyDescent="0.2">
      <c r="B690" s="314" t="s">
        <v>1003</v>
      </c>
      <c r="C690" s="315" t="str">
        <f>VLOOKUP(D690,Fontes!$A$6:$H$11629,8,FALSE)</f>
        <v>Custo Mercado Reajustado</v>
      </c>
      <c r="D690" s="315" t="s">
        <v>1559</v>
      </c>
      <c r="E690" s="204" t="str">
        <f>VLOOKUP(D690,Fontes!$A$6:$H$11629,2,FALSE)</f>
        <v>Pontos de drenagem (apenas interligação)</v>
      </c>
      <c r="F690" s="203">
        <v>1</v>
      </c>
      <c r="G690" s="203" t="str">
        <f>VLOOKUP(D690,Fontes!$A$6:$L$11629,3,FALSE)</f>
        <v>sv</v>
      </c>
      <c r="H690" s="203">
        <v>0</v>
      </c>
      <c r="I690" s="203">
        <v>14496.41907418932</v>
      </c>
      <c r="J690" s="203">
        <v>0</v>
      </c>
      <c r="K690" s="316">
        <f t="shared" si="231"/>
        <v>14496.42</v>
      </c>
      <c r="L690" s="317">
        <f t="shared" si="232"/>
        <v>14496.42</v>
      </c>
      <c r="M690" s="318">
        <f t="shared" si="226"/>
        <v>5.2498096211483017E-4</v>
      </c>
    </row>
    <row r="691" spans="2:13" s="313" customFormat="1" ht="54" x14ac:dyDescent="0.2">
      <c r="B691" s="314" t="s">
        <v>1004</v>
      </c>
      <c r="C691" s="315" t="str">
        <f>VLOOKUP(D691,Fontes!$A$6:$H$11629,8,FALSE)</f>
        <v>Custo Mercado Reajustado</v>
      </c>
      <c r="D691" s="315" t="s">
        <v>1560</v>
      </c>
      <c r="E691" s="204" t="str">
        <f>VLOOKUP(D691,Fontes!$A$6:$H$11629,2,FALSE)</f>
        <v>Suportes e miudezas</v>
      </c>
      <c r="F691" s="203">
        <v>1</v>
      </c>
      <c r="G691" s="203" t="str">
        <f>VLOOKUP(D691,Fontes!$A$6:$L$11629,3,FALSE)</f>
        <v>sv</v>
      </c>
      <c r="H691" s="203">
        <v>0</v>
      </c>
      <c r="I691" s="203">
        <v>10469.63599802562</v>
      </c>
      <c r="J691" s="203">
        <v>0</v>
      </c>
      <c r="K691" s="316">
        <f t="shared" si="231"/>
        <v>10469.64</v>
      </c>
      <c r="L691" s="317">
        <f t="shared" si="232"/>
        <v>10469.64</v>
      </c>
      <c r="M691" s="318">
        <f t="shared" si="226"/>
        <v>3.7915303779801571E-4</v>
      </c>
    </row>
    <row r="692" spans="2:13" s="313" customFormat="1" ht="54" x14ac:dyDescent="0.2">
      <c r="B692" s="314" t="s">
        <v>1005</v>
      </c>
      <c r="C692" s="315" t="str">
        <f>VLOOKUP(D692,Fontes!$A$6:$H$11629,8,FALSE)</f>
        <v>Custo Mercado Reajustado</v>
      </c>
      <c r="D692" s="315" t="s">
        <v>1561</v>
      </c>
      <c r="E692" s="204" t="str">
        <f>VLOOKUP(D692,Fontes!$A$6:$H$11629,2,FALSE)</f>
        <v>Mobilizações e desmobilizações</v>
      </c>
      <c r="F692" s="203">
        <v>1</v>
      </c>
      <c r="G692" s="203" t="str">
        <f>VLOOKUP(D692,Fontes!$A$6:$L$11629,3,FALSE)</f>
        <v>sv</v>
      </c>
      <c r="H692" s="203">
        <v>0</v>
      </c>
      <c r="I692" s="203">
        <v>9181.0654136532357</v>
      </c>
      <c r="J692" s="203">
        <v>0</v>
      </c>
      <c r="K692" s="316">
        <f t="shared" si="231"/>
        <v>9181.07</v>
      </c>
      <c r="L692" s="317">
        <f t="shared" si="232"/>
        <v>9181.07</v>
      </c>
      <c r="M692" s="318">
        <f t="shared" si="226"/>
        <v>3.3248808753082512E-4</v>
      </c>
    </row>
    <row r="693" spans="2:13" s="313" customFormat="1" ht="54" x14ac:dyDescent="0.2">
      <c r="B693" s="314" t="s">
        <v>1006</v>
      </c>
      <c r="C693" s="315" t="str">
        <f>VLOOKUP(D693,Fontes!$A$6:$H$11629,8,FALSE)</f>
        <v>Custo Mercado Reajustado</v>
      </c>
      <c r="D693" s="315" t="s">
        <v>1562</v>
      </c>
      <c r="E693" s="204" t="str">
        <f>VLOOKUP(D693,Fontes!$A$6:$H$11629,2,FALSE)</f>
        <v>Equipe técnica permanente</v>
      </c>
      <c r="F693" s="203">
        <v>1</v>
      </c>
      <c r="G693" s="203" t="str">
        <f>VLOOKUP(D693,Fontes!$A$6:$L$11629,3,FALSE)</f>
        <v>sv</v>
      </c>
      <c r="H693" s="203">
        <v>0</v>
      </c>
      <c r="I693" s="203">
        <v>51220.680728802261</v>
      </c>
      <c r="J693" s="203">
        <v>0</v>
      </c>
      <c r="K693" s="316">
        <f t="shared" si="231"/>
        <v>51220.68</v>
      </c>
      <c r="L693" s="317">
        <f t="shared" si="232"/>
        <v>51220.68</v>
      </c>
      <c r="M693" s="318">
        <f t="shared" si="226"/>
        <v>1.854932587947634E-3</v>
      </c>
    </row>
    <row r="694" spans="2:13" s="313" customFormat="1" ht="54" x14ac:dyDescent="0.2">
      <c r="B694" s="314" t="s">
        <v>1007</v>
      </c>
      <c r="C694" s="315" t="str">
        <f>VLOOKUP(D694,Fontes!$A$6:$H$11629,8,FALSE)</f>
        <v>Custo Mercado Reajustado</v>
      </c>
      <c r="D694" s="315" t="s">
        <v>1563</v>
      </c>
      <c r="E694" s="204" t="str">
        <f>VLOOKUP(D694,Fontes!$A$6:$H$11629,2,FALSE)</f>
        <v>ART (anotação de responsabilidade técnica)</v>
      </c>
      <c r="F694" s="203">
        <v>1</v>
      </c>
      <c r="G694" s="203" t="str">
        <f>VLOOKUP(D694,Fontes!$A$6:$L$11629,3,FALSE)</f>
        <v>sv</v>
      </c>
      <c r="H694" s="203">
        <v>0</v>
      </c>
      <c r="I694" s="203">
        <v>1932.855876558576</v>
      </c>
      <c r="J694" s="203">
        <v>0</v>
      </c>
      <c r="K694" s="316">
        <f t="shared" si="231"/>
        <v>1932.86</v>
      </c>
      <c r="L694" s="317">
        <f t="shared" si="232"/>
        <v>1932.86</v>
      </c>
      <c r="M694" s="318">
        <f t="shared" si="226"/>
        <v>6.999760647341004E-5</v>
      </c>
    </row>
    <row r="695" spans="2:13" s="109" customFormat="1" ht="18" x14ac:dyDescent="0.2">
      <c r="B695" s="114"/>
      <c r="C695" s="115"/>
      <c r="D695" s="115"/>
      <c r="E695" s="116"/>
      <c r="F695" s="117"/>
      <c r="G695" s="117"/>
      <c r="H695" s="117"/>
      <c r="I695" s="117"/>
      <c r="J695" s="117"/>
      <c r="K695" s="118"/>
      <c r="L695" s="119"/>
      <c r="M695" s="120">
        <f t="shared" si="226"/>
        <v>0</v>
      </c>
    </row>
    <row r="696" spans="2:13" s="109" customFormat="1" ht="18" x14ac:dyDescent="0.2">
      <c r="B696" s="114"/>
      <c r="C696" s="115"/>
      <c r="D696" s="115"/>
      <c r="E696" s="116"/>
      <c r="F696" s="117"/>
      <c r="G696" s="117"/>
      <c r="H696" s="117"/>
      <c r="I696" s="117"/>
      <c r="J696" s="117"/>
      <c r="K696" s="118"/>
      <c r="L696" s="119"/>
      <c r="M696" s="120">
        <f t="shared" si="226"/>
        <v>0</v>
      </c>
    </row>
    <row r="697" spans="2:13" s="109" customFormat="1" ht="25.5" customHeight="1" x14ac:dyDescent="0.2">
      <c r="B697" s="206">
        <v>15</v>
      </c>
      <c r="C697" s="207"/>
      <c r="D697" s="207"/>
      <c r="E697" s="309" t="s">
        <v>509</v>
      </c>
      <c r="F697" s="209"/>
      <c r="G697" s="205"/>
      <c r="H697" s="210"/>
      <c r="I697" s="210"/>
      <c r="J697" s="209"/>
      <c r="K697" s="209"/>
      <c r="L697" s="211">
        <f>SUBTOTAL(9,L698:L712)</f>
        <v>355301.92000000004</v>
      </c>
      <c r="M697" s="212">
        <f t="shared" si="226"/>
        <v>1.2867090205916113E-2</v>
      </c>
    </row>
    <row r="698" spans="2:13" s="109" customFormat="1" ht="25.5" customHeight="1" x14ac:dyDescent="0.2">
      <c r="B698" s="217" t="s">
        <v>1008</v>
      </c>
      <c r="C698" s="218"/>
      <c r="D698" s="218"/>
      <c r="E698" s="311" t="s">
        <v>510</v>
      </c>
      <c r="F698" s="219"/>
      <c r="G698" s="220"/>
      <c r="H698" s="221"/>
      <c r="I698" s="221"/>
      <c r="J698" s="219"/>
      <c r="K698" s="219"/>
      <c r="L698" s="222">
        <f>SUBTOTAL(9,L699:L700)</f>
        <v>221413.09</v>
      </c>
      <c r="M698" s="223">
        <f t="shared" si="226"/>
        <v>8.0183698466943908E-3</v>
      </c>
    </row>
    <row r="699" spans="2:13" s="313" customFormat="1" ht="54" x14ac:dyDescent="0.2">
      <c r="B699" s="314" t="s">
        <v>1009</v>
      </c>
      <c r="C699" s="315" t="str">
        <f>VLOOKUP(D699,Fontes!$A$6:$H$11629,8,FALSE)</f>
        <v>SINAPI / RJ</v>
      </c>
      <c r="D699" s="315">
        <v>87879</v>
      </c>
      <c r="E699" s="204" t="str">
        <f>VLOOKUP(D699,Fontes!$A$6:$H$11629,2,FALSE)</f>
        <v>Chapisco aplicado em alvenarias e estruturas de concreto, com colher de pedreiro, argamassa traço 1:3 com preparo em betoneira 400l</v>
      </c>
      <c r="F699" s="203">
        <f>3824.49+1519.11</f>
        <v>5343.5999999999995</v>
      </c>
      <c r="G699" s="203" t="str">
        <f>VLOOKUP(D699,Fontes!$A$6:$L$11629,3,FALSE)</f>
        <v>m2</v>
      </c>
      <c r="H699" s="203">
        <v>2.7848201438848919</v>
      </c>
      <c r="I699" s="203">
        <v>2.825179856115108</v>
      </c>
      <c r="J699" s="203">
        <v>0</v>
      </c>
      <c r="K699" s="316">
        <f t="shared" ref="K699:K700" si="233">ROUND(+H699+I699+J699,2)</f>
        <v>5.61</v>
      </c>
      <c r="L699" s="317">
        <f t="shared" ref="L699:L700" si="234">ROUND(F699*K699,2)</f>
        <v>29977.599999999999</v>
      </c>
      <c r="M699" s="318">
        <f t="shared" si="226"/>
        <v>1.0856245397065987E-3</v>
      </c>
    </row>
    <row r="700" spans="2:13" s="313" customFormat="1" ht="72" x14ac:dyDescent="0.2">
      <c r="B700" s="314" t="s">
        <v>1012</v>
      </c>
      <c r="C700" s="315" t="str">
        <f>VLOOKUP(D700,Fontes!$A$6:$H$11629,8,FALSE)</f>
        <v>SINAPI / RJ</v>
      </c>
      <c r="D700" s="315">
        <v>87529</v>
      </c>
      <c r="E700" s="204" t="str">
        <f>VLOOKUP(D700,Fontes!$A$6:$H$11629,2,FALSE)</f>
        <v>Massa única, para recebimento de pintura ou cerâmica, em argamassa traço 1:2:8, preparo mecânico com betoneira 400l, aplicada manualmente em paredes, espessura de 20mm, com execução de taliscas</v>
      </c>
      <c r="F700" s="203">
        <f>4080.91</f>
        <v>4080.91</v>
      </c>
      <c r="G700" s="203" t="str">
        <f>VLOOKUP(D700,Fontes!$A$6:$L$11629,3,FALSE)</f>
        <v>m2</v>
      </c>
      <c r="H700" s="203">
        <v>25.64664524765729</v>
      </c>
      <c r="I700" s="203">
        <v>21.150318607764383</v>
      </c>
      <c r="J700" s="203">
        <v>0.11303614457831321</v>
      </c>
      <c r="K700" s="316">
        <f t="shared" si="233"/>
        <v>46.91</v>
      </c>
      <c r="L700" s="317">
        <f t="shared" si="234"/>
        <v>191435.49</v>
      </c>
      <c r="M700" s="318">
        <f t="shared" si="226"/>
        <v>6.9327453069877908E-3</v>
      </c>
    </row>
    <row r="701" spans="2:13" s="109" customFormat="1" ht="18" x14ac:dyDescent="0.2">
      <c r="B701" s="114"/>
      <c r="C701" s="115"/>
      <c r="D701" s="115"/>
      <c r="E701" s="116"/>
      <c r="F701" s="117"/>
      <c r="G701" s="117"/>
      <c r="H701" s="117"/>
      <c r="I701" s="117"/>
      <c r="J701" s="117"/>
      <c r="K701" s="118"/>
      <c r="L701" s="119"/>
      <c r="M701" s="120">
        <f t="shared" si="226"/>
        <v>0</v>
      </c>
    </row>
    <row r="702" spans="2:13" s="109" customFormat="1" ht="25.5" customHeight="1" x14ac:dyDescent="0.2">
      <c r="B702" s="217" t="s">
        <v>1010</v>
      </c>
      <c r="C702" s="218"/>
      <c r="D702" s="218"/>
      <c r="E702" s="311" t="s">
        <v>511</v>
      </c>
      <c r="F702" s="219"/>
      <c r="G702" s="220"/>
      <c r="H702" s="221"/>
      <c r="I702" s="221"/>
      <c r="J702" s="219"/>
      <c r="K702" s="219"/>
      <c r="L702" s="222">
        <f>SUBTOTAL(9,L703:L704)</f>
        <v>101853.43000000001</v>
      </c>
      <c r="M702" s="223">
        <f t="shared" si="226"/>
        <v>3.6885735703087738E-3</v>
      </c>
    </row>
    <row r="703" spans="2:13" s="313" customFormat="1" ht="36" x14ac:dyDescent="0.2">
      <c r="B703" s="314" t="s">
        <v>1011</v>
      </c>
      <c r="C703" s="315" t="str">
        <f>VLOOKUP(D703,Fontes!$A$6:$H$11629,8,FALSE)</f>
        <v>FACC</v>
      </c>
      <c r="D703" s="315" t="s">
        <v>1197</v>
      </c>
      <c r="E703" s="204" t="str">
        <f>VLOOKUP(D703,Fontes!$A$6:$H$11629,2,FALSE)</f>
        <v>Revestimento em porcelanato Eliane Ártico Alpe AC 60 x 60 cm retificado em áreas maiores que 10 m2</v>
      </c>
      <c r="F703" s="203">
        <v>480</v>
      </c>
      <c r="G703" s="203" t="str">
        <f>VLOOKUP(D703,Fontes!$A$6:$L$11629,3,FALSE)</f>
        <v>m2</v>
      </c>
      <c r="H703" s="203">
        <v>135.32999999999998</v>
      </c>
      <c r="I703" s="203">
        <v>25.54</v>
      </c>
      <c r="J703" s="203">
        <v>0</v>
      </c>
      <c r="K703" s="316">
        <f t="shared" ref="K703:K704" si="235">ROUND(+H703+I703+J703,2)</f>
        <v>160.87</v>
      </c>
      <c r="L703" s="317">
        <f t="shared" ref="L703:L704" si="236">ROUND(F703*K703,2)</f>
        <v>77217.600000000006</v>
      </c>
      <c r="M703" s="318">
        <f t="shared" ref="M703:M766" si="237">+L703/$L$851</f>
        <v>2.796398692932332E-3</v>
      </c>
    </row>
    <row r="704" spans="2:13" s="313" customFormat="1" ht="36" x14ac:dyDescent="0.2">
      <c r="B704" s="314" t="s">
        <v>1013</v>
      </c>
      <c r="C704" s="315" t="str">
        <f>VLOOKUP(D704,Fontes!$A$6:$H$11629,8,FALSE)</f>
        <v>SINAPI / RJ</v>
      </c>
      <c r="D704" s="315">
        <v>87244</v>
      </c>
      <c r="E704" s="204" t="str">
        <f>VLOOKUP(D704,Fontes!$A$6:$H$11629,2,FALSE)</f>
        <v>Revestimento cerâmico para paredes em pastilhas de porcelana 5 x 5 cm (placas de 30 x 30 cm), alinhadas a prumo</v>
      </c>
      <c r="F704" s="203">
        <v>72.900000000000006</v>
      </c>
      <c r="G704" s="203" t="str">
        <f>VLOOKUP(D704,Fontes!$A$6:$L$11629,3,FALSE)</f>
        <v>m2</v>
      </c>
      <c r="H704" s="203">
        <v>291.40899222883598</v>
      </c>
      <c r="I704" s="203">
        <v>46.53100777116402</v>
      </c>
      <c r="J704" s="203">
        <v>0</v>
      </c>
      <c r="K704" s="316">
        <f t="shared" si="235"/>
        <v>337.94</v>
      </c>
      <c r="L704" s="317">
        <f t="shared" si="236"/>
        <v>24635.83</v>
      </c>
      <c r="M704" s="318">
        <f t="shared" si="237"/>
        <v>8.9217487737644182E-4</v>
      </c>
    </row>
    <row r="705" spans="2:13" s="313" customFormat="1" ht="18" x14ac:dyDescent="0.2">
      <c r="B705" s="314"/>
      <c r="C705" s="315"/>
      <c r="D705" s="315"/>
      <c r="E705" s="204"/>
      <c r="F705" s="203"/>
      <c r="G705" s="203"/>
      <c r="H705" s="203"/>
      <c r="I705" s="203"/>
      <c r="J705" s="203"/>
      <c r="K705" s="316"/>
      <c r="L705" s="317"/>
      <c r="M705" s="318">
        <f t="shared" si="237"/>
        <v>0</v>
      </c>
    </row>
    <row r="706" spans="2:13" s="109" customFormat="1" ht="25.5" customHeight="1" x14ac:dyDescent="0.2">
      <c r="B706" s="217" t="s">
        <v>1014</v>
      </c>
      <c r="C706" s="218"/>
      <c r="D706" s="218"/>
      <c r="E706" s="311" t="s">
        <v>512</v>
      </c>
      <c r="F706" s="219"/>
      <c r="G706" s="220"/>
      <c r="H706" s="221"/>
      <c r="I706" s="221"/>
      <c r="J706" s="219"/>
      <c r="K706" s="219"/>
      <c r="L706" s="222">
        <f>SUBTOTAL(9,L707:L708)</f>
        <v>5021.6499999999996</v>
      </c>
      <c r="M706" s="223">
        <f t="shared" si="237"/>
        <v>1.8185666863983915E-4</v>
      </c>
    </row>
    <row r="707" spans="2:13" s="313" customFormat="1" ht="54" x14ac:dyDescent="0.2">
      <c r="B707" s="314" t="s">
        <v>1015</v>
      </c>
      <c r="C707" s="315" t="str">
        <f>VLOOKUP(D707,Fontes!$A$6:$H$11629,8,FALSE)</f>
        <v>SBC / RJ</v>
      </c>
      <c r="D707" s="315">
        <v>160156</v>
      </c>
      <c r="E707" s="204" t="s">
        <v>513</v>
      </c>
      <c r="F707" s="203">
        <v>69.92</v>
      </c>
      <c r="G707" s="203" t="str">
        <f>VLOOKUP(D707,Fontes!$A$6:$L$11629,3,FALSE)</f>
        <v>m2</v>
      </c>
      <c r="H707" s="203">
        <v>25.2</v>
      </c>
      <c r="I707" s="203">
        <v>46.61999999999999</v>
      </c>
      <c r="J707" s="203">
        <v>0</v>
      </c>
      <c r="K707" s="316">
        <f>ROUND(+H707+I707+J707,2)</f>
        <v>71.819999999999993</v>
      </c>
      <c r="L707" s="317">
        <f>ROUND(F707*K707,2)</f>
        <v>5021.6499999999996</v>
      </c>
      <c r="M707" s="318">
        <f t="shared" si="237"/>
        <v>1.8185666863983915E-4</v>
      </c>
    </row>
    <row r="708" spans="2:13" s="109" customFormat="1" ht="18" x14ac:dyDescent="0.2">
      <c r="B708" s="114"/>
      <c r="C708" s="115"/>
      <c r="D708" s="115"/>
      <c r="E708" s="116"/>
      <c r="F708" s="117"/>
      <c r="G708" s="117"/>
      <c r="H708" s="117"/>
      <c r="I708" s="117"/>
      <c r="J708" s="117"/>
      <c r="K708" s="118"/>
      <c r="L708" s="119"/>
      <c r="M708" s="120">
        <f t="shared" si="237"/>
        <v>0</v>
      </c>
    </row>
    <row r="709" spans="2:13" s="109" customFormat="1" ht="25.5" customHeight="1" x14ac:dyDescent="0.2">
      <c r="B709" s="217" t="s">
        <v>2041</v>
      </c>
      <c r="C709" s="218"/>
      <c r="D709" s="218"/>
      <c r="E709" s="311" t="s">
        <v>1202</v>
      </c>
      <c r="F709" s="219"/>
      <c r="G709" s="220"/>
      <c r="H709" s="221"/>
      <c r="I709" s="221"/>
      <c r="J709" s="219"/>
      <c r="K709" s="219"/>
      <c r="L709" s="222">
        <f>SUBTOTAL(9,L710:L711)</f>
        <v>27013.75</v>
      </c>
      <c r="M709" s="223">
        <f t="shared" si="237"/>
        <v>9.7829012027310846E-4</v>
      </c>
    </row>
    <row r="710" spans="2:13" s="313" customFormat="1" ht="18" x14ac:dyDescent="0.2">
      <c r="B710" s="314" t="s">
        <v>2042</v>
      </c>
      <c r="C710" s="315" t="str">
        <f>VLOOKUP(D710,Fontes!$A$6:$H$11629,8,FALSE)</f>
        <v>SBC / RJ</v>
      </c>
      <c r="D710" s="315">
        <v>120224</v>
      </c>
      <c r="E710" s="204" t="str">
        <f>VLOOKUP(D710,Fontes!$A$6:$H$11629,2,FALSE)</f>
        <v>Lambri em madeira cedrinho para paredes</v>
      </c>
      <c r="F710" s="203">
        <v>66.099999999999994</v>
      </c>
      <c r="G710" s="203" t="str">
        <f>VLOOKUP(D710,Fontes!$A$6:$L$11629,3,FALSE)</f>
        <v>m2</v>
      </c>
      <c r="H710" s="203">
        <v>191.07999999999998</v>
      </c>
      <c r="I710" s="203">
        <v>134.80000000000001</v>
      </c>
      <c r="J710" s="203">
        <v>0</v>
      </c>
      <c r="K710" s="316">
        <f>ROUND(+H710+I710+J710,2)</f>
        <v>325.88</v>
      </c>
      <c r="L710" s="317">
        <f>ROUND(F710*K710,2)</f>
        <v>21540.67</v>
      </c>
      <c r="M710" s="318">
        <f t="shared" si="237"/>
        <v>7.8008512868681091E-4</v>
      </c>
    </row>
    <row r="711" spans="2:13" s="313" customFormat="1" ht="18" x14ac:dyDescent="0.2">
      <c r="B711" s="314" t="s">
        <v>2043</v>
      </c>
      <c r="C711" s="315" t="str">
        <f>VLOOKUP(D711,Fontes!$A$6:$H$11629,8,FALSE)</f>
        <v>SBC / RJ</v>
      </c>
      <c r="D711" s="315">
        <v>180115</v>
      </c>
      <c r="E711" s="204" t="str">
        <f>VLOOKUP(D711,Fontes!$A$6:$H$11629,2,FALSE)</f>
        <v>Enceramento de portas e caixilhos</v>
      </c>
      <c r="F711" s="203">
        <f>F710</f>
        <v>66.099999999999994</v>
      </c>
      <c r="G711" s="203" t="str">
        <f>VLOOKUP(D711,Fontes!$A$6:$L$11629,3,FALSE)</f>
        <v>m2</v>
      </c>
      <c r="H711" s="203">
        <v>19.409999999999997</v>
      </c>
      <c r="I711" s="203">
        <v>63.39</v>
      </c>
      <c r="J711" s="203">
        <v>0</v>
      </c>
      <c r="K711" s="316">
        <f>ROUND(+H711+I711+J711,2)</f>
        <v>82.8</v>
      </c>
      <c r="L711" s="317">
        <f>ROUND(F711*K711,2)</f>
        <v>5473.08</v>
      </c>
      <c r="M711" s="318">
        <f t="shared" si="237"/>
        <v>1.982049915862975E-4</v>
      </c>
    </row>
    <row r="712" spans="2:13" s="109" customFormat="1" ht="18" x14ac:dyDescent="0.2">
      <c r="B712" s="114"/>
      <c r="C712" s="115"/>
      <c r="D712" s="115"/>
      <c r="E712" s="116"/>
      <c r="F712" s="117"/>
      <c r="G712" s="117"/>
      <c r="H712" s="117"/>
      <c r="I712" s="117"/>
      <c r="J712" s="117"/>
      <c r="K712" s="118"/>
      <c r="L712" s="119"/>
      <c r="M712" s="120">
        <f t="shared" si="237"/>
        <v>0</v>
      </c>
    </row>
    <row r="713" spans="2:13" s="109" customFormat="1" ht="18" x14ac:dyDescent="0.2">
      <c r="B713" s="114"/>
      <c r="C713" s="115"/>
      <c r="D713" s="115"/>
      <c r="E713" s="116"/>
      <c r="F713" s="117"/>
      <c r="G713" s="117"/>
      <c r="H713" s="117"/>
      <c r="I713" s="117"/>
      <c r="J713" s="117"/>
      <c r="K713" s="118"/>
      <c r="L713" s="119"/>
      <c r="M713" s="120">
        <f t="shared" si="237"/>
        <v>0</v>
      </c>
    </row>
    <row r="714" spans="2:13" s="109" customFormat="1" ht="25.5" customHeight="1" x14ac:dyDescent="0.2">
      <c r="B714" s="206">
        <v>16</v>
      </c>
      <c r="C714" s="207"/>
      <c r="D714" s="207"/>
      <c r="E714" s="309" t="s">
        <v>514</v>
      </c>
      <c r="F714" s="209"/>
      <c r="G714" s="205"/>
      <c r="H714" s="210"/>
      <c r="I714" s="210"/>
      <c r="J714" s="209"/>
      <c r="K714" s="209"/>
      <c r="L714" s="211">
        <f>SUBTOTAL(9,L715:L725)</f>
        <v>230808.98</v>
      </c>
      <c r="M714" s="212">
        <f t="shared" si="237"/>
        <v>8.3586375384503628E-3</v>
      </c>
    </row>
    <row r="715" spans="2:13" s="109" customFormat="1" ht="25.5" customHeight="1" x14ac:dyDescent="0.2">
      <c r="B715" s="217" t="s">
        <v>1016</v>
      </c>
      <c r="C715" s="218"/>
      <c r="D715" s="218"/>
      <c r="E715" s="311" t="s">
        <v>510</v>
      </c>
      <c r="F715" s="219"/>
      <c r="G715" s="220"/>
      <c r="H715" s="221"/>
      <c r="I715" s="221"/>
      <c r="J715" s="219"/>
      <c r="K715" s="219"/>
      <c r="L715" s="222">
        <f>SUBTOTAL(9,L716:L717)</f>
        <v>10800.94</v>
      </c>
      <c r="M715" s="223">
        <f t="shared" si="237"/>
        <v>3.9115090987599382E-4</v>
      </c>
    </row>
    <row r="716" spans="2:13" s="313" customFormat="1" ht="36" x14ac:dyDescent="0.2">
      <c r="B716" s="314" t="s">
        <v>1017</v>
      </c>
      <c r="C716" s="315" t="str">
        <f>VLOOKUP(D716,Fontes!$A$6:$H$11629,8,FALSE)</f>
        <v>SINAPI / RJ</v>
      </c>
      <c r="D716" s="315">
        <v>87885</v>
      </c>
      <c r="E716" s="204" t="str">
        <f>VLOOKUP(D716,Fontes!$A$6:$H$11629,2,FALSE)</f>
        <v>Chapisco aplicado no teto, com rolo para textura acrílica, argamassa industrializada com preparo em misturador 300 kg</v>
      </c>
      <c r="F716" s="203">
        <v>206.44</v>
      </c>
      <c r="G716" s="203" t="str">
        <f>VLOOKUP(D716,Fontes!$A$6:$L$11629,3,FALSE)</f>
        <v>m2</v>
      </c>
      <c r="H716" s="203">
        <v>7.8940808344198183</v>
      </c>
      <c r="I716" s="203">
        <v>1.2659191655801825</v>
      </c>
      <c r="J716" s="203">
        <v>0</v>
      </c>
      <c r="K716" s="316">
        <f t="shared" ref="K716:K717" si="238">ROUND(+H716+I716+J716,2)</f>
        <v>9.16</v>
      </c>
      <c r="L716" s="317">
        <f t="shared" ref="L716:L717" si="239">ROUND(F716*K716,2)</f>
        <v>1890.99</v>
      </c>
      <c r="M716" s="318">
        <f t="shared" si="237"/>
        <v>6.8481304318550567E-5</v>
      </c>
    </row>
    <row r="717" spans="2:13" s="313" customFormat="1" ht="72" x14ac:dyDescent="0.2">
      <c r="B717" s="314" t="s">
        <v>1020</v>
      </c>
      <c r="C717" s="315" t="str">
        <f>VLOOKUP(D717,Fontes!$A$6:$H$11629,8,FALSE)</f>
        <v>SINAPI / RJ</v>
      </c>
      <c r="D717" s="315">
        <v>90408</v>
      </c>
      <c r="E717" s="204" t="str">
        <f>VLOOKUP(D717,Fontes!$A$6:$H$11629,2,FALSE)</f>
        <v>Massa única, para recebimento de pintura, em argamassa traço 1:2:8, preparo mecânico com betoneira 400l, aplicada manualmente em teto, espessura de 10mm, com execução de taliscas</v>
      </c>
      <c r="F717" s="203">
        <f>F716</f>
        <v>206.44</v>
      </c>
      <c r="G717" s="203" t="str">
        <f>VLOOKUP(D717,Fontes!$A$6:$L$11629,3,FALSE)</f>
        <v>m2</v>
      </c>
      <c r="H717" s="203">
        <v>18.448181818181812</v>
      </c>
      <c r="I717" s="203">
        <v>24.664545454545451</v>
      </c>
      <c r="J717" s="203">
        <v>4.7272727272727265E-2</v>
      </c>
      <c r="K717" s="316">
        <f t="shared" si="238"/>
        <v>43.16</v>
      </c>
      <c r="L717" s="317">
        <f t="shared" si="239"/>
        <v>8909.9500000000007</v>
      </c>
      <c r="M717" s="318">
        <f t="shared" si="237"/>
        <v>3.2266960555744326E-4</v>
      </c>
    </row>
    <row r="718" spans="2:13" s="109" customFormat="1" ht="18" x14ac:dyDescent="0.2">
      <c r="B718" s="114"/>
      <c r="C718" s="115"/>
      <c r="D718" s="115"/>
      <c r="E718" s="116"/>
      <c r="F718" s="117"/>
      <c r="G718" s="117"/>
      <c r="H718" s="117"/>
      <c r="I718" s="117"/>
      <c r="J718" s="117"/>
      <c r="K718" s="118"/>
      <c r="L718" s="119"/>
      <c r="M718" s="120">
        <f t="shared" si="237"/>
        <v>0</v>
      </c>
    </row>
    <row r="719" spans="2:13" s="109" customFormat="1" ht="25.5" customHeight="1" x14ac:dyDescent="0.2">
      <c r="B719" s="217" t="s">
        <v>1018</v>
      </c>
      <c r="C719" s="218"/>
      <c r="D719" s="218"/>
      <c r="E719" s="311" t="s">
        <v>515</v>
      </c>
      <c r="F719" s="219"/>
      <c r="G719" s="220"/>
      <c r="H719" s="221"/>
      <c r="I719" s="221"/>
      <c r="J719" s="219"/>
      <c r="K719" s="219"/>
      <c r="L719" s="222">
        <f>SUBTOTAL(9,L720:L722)</f>
        <v>215633.74000000002</v>
      </c>
      <c r="M719" s="223">
        <f t="shared" si="237"/>
        <v>7.8090734325867465E-3</v>
      </c>
    </row>
    <row r="720" spans="2:13" s="313" customFormat="1" ht="36" x14ac:dyDescent="0.2">
      <c r="B720" s="314" t="s">
        <v>1019</v>
      </c>
      <c r="C720" s="315" t="str">
        <f>VLOOKUP(D720,Fontes!$A$6:$H$11629,8,FALSE)</f>
        <v>SINAPI / RJ</v>
      </c>
      <c r="D720" s="315">
        <v>96114</v>
      </c>
      <c r="E720" s="204" t="str">
        <f>VLOOKUP(D720,Fontes!$A$6:$H$11629,2,FALSE)</f>
        <v>Forro em drywall, para ambientes comerciais, inclusive estrutura de fixação</v>
      </c>
      <c r="F720" s="203">
        <v>2218.8000000000002</v>
      </c>
      <c r="G720" s="203" t="str">
        <f>VLOOKUP(D720,Fontes!$A$6:$L$11629,3,FALSE)</f>
        <v>m2</v>
      </c>
      <c r="H720" s="203">
        <v>68.401609256550074</v>
      </c>
      <c r="I720" s="203">
        <v>16.538390743449927</v>
      </c>
      <c r="J720" s="203">
        <v>0</v>
      </c>
      <c r="K720" s="316">
        <f t="shared" ref="K720:K722" si="240">ROUND(+H720+I720+J720,2)</f>
        <v>84.94</v>
      </c>
      <c r="L720" s="317">
        <f t="shared" ref="L720:L722" si="241">ROUND(F720*K720,2)</f>
        <v>188464.87</v>
      </c>
      <c r="M720" s="318">
        <f t="shared" si="237"/>
        <v>6.8251657152211646E-3</v>
      </c>
    </row>
    <row r="721" spans="2:13" s="313" customFormat="1" ht="18" x14ac:dyDescent="0.2">
      <c r="B721" s="314" t="s">
        <v>1021</v>
      </c>
      <c r="C721" s="315" t="str">
        <f>VLOOKUP(D721,Fontes!$A$6:$H$11629,8,FALSE)</f>
        <v>SINAPI / RJ</v>
      </c>
      <c r="D721" s="315">
        <v>99054</v>
      </c>
      <c r="E721" s="204" t="str">
        <f>VLOOKUP(D721,Fontes!$A$6:$H$11629,2,FALSE)</f>
        <v>Acabamentos para forro (sanca de gesso montada na obra)</v>
      </c>
      <c r="F721" s="203">
        <v>5.7</v>
      </c>
      <c r="G721" s="203" t="str">
        <f>VLOOKUP(D721,Fontes!$A$6:$L$11629,3,FALSE)</f>
        <v>m2</v>
      </c>
      <c r="H721" s="203">
        <v>34.814470261834579</v>
      </c>
      <c r="I721" s="203">
        <v>44.075529738165422</v>
      </c>
      <c r="J721" s="203">
        <v>0</v>
      </c>
      <c r="K721" s="316">
        <f t="shared" si="240"/>
        <v>78.89</v>
      </c>
      <c r="L721" s="317">
        <f t="shared" si="241"/>
        <v>449.67</v>
      </c>
      <c r="M721" s="318">
        <f t="shared" si="237"/>
        <v>1.6284585382747997E-5</v>
      </c>
    </row>
    <row r="722" spans="2:13" s="313" customFormat="1" ht="36" x14ac:dyDescent="0.2">
      <c r="B722" s="314" t="s">
        <v>1022</v>
      </c>
      <c r="C722" s="315" t="str">
        <f>VLOOKUP(D722,Fontes!$A$6:$H$11629,8,FALSE)</f>
        <v>SINAPI / RJ</v>
      </c>
      <c r="D722" s="315">
        <v>96121</v>
      </c>
      <c r="E722" s="204" t="str">
        <f>VLOOKUP(D722,Fontes!$A$6:$H$11629,2,FALSE)</f>
        <v>Acabamentos para forro (roda-forro em perfil metálico e plástico)</v>
      </c>
      <c r="F722" s="203">
        <v>1484.4</v>
      </c>
      <c r="G722" s="203" t="str">
        <f>VLOOKUP(D722,Fontes!$A$6:$L$11629,3,FALSE)</f>
        <v>m</v>
      </c>
      <c r="H722" s="203">
        <v>13.307805596465391</v>
      </c>
      <c r="I722" s="203">
        <v>4.6921944035346099</v>
      </c>
      <c r="J722" s="203">
        <v>0</v>
      </c>
      <c r="K722" s="316">
        <f t="shared" si="240"/>
        <v>18</v>
      </c>
      <c r="L722" s="317">
        <f t="shared" si="241"/>
        <v>26719.200000000001</v>
      </c>
      <c r="M722" s="318">
        <f t="shared" si="237"/>
        <v>9.6762313198283246E-4</v>
      </c>
    </row>
    <row r="723" spans="2:13" s="109" customFormat="1" ht="18" x14ac:dyDescent="0.2">
      <c r="B723" s="114"/>
      <c r="C723" s="115"/>
      <c r="D723" s="115"/>
      <c r="E723" s="116"/>
      <c r="F723" s="117"/>
      <c r="G723" s="117"/>
      <c r="H723" s="117"/>
      <c r="I723" s="117"/>
      <c r="J723" s="117"/>
      <c r="K723" s="118"/>
      <c r="L723" s="119"/>
      <c r="M723" s="120">
        <f t="shared" si="237"/>
        <v>0</v>
      </c>
    </row>
    <row r="724" spans="2:13" s="109" customFormat="1" ht="25.5" customHeight="1" x14ac:dyDescent="0.2">
      <c r="B724" s="217" t="s">
        <v>1023</v>
      </c>
      <c r="C724" s="218"/>
      <c r="D724" s="218"/>
      <c r="E724" s="311" t="s">
        <v>512</v>
      </c>
      <c r="F724" s="219"/>
      <c r="G724" s="220"/>
      <c r="H724" s="221"/>
      <c r="I724" s="221"/>
      <c r="J724" s="219"/>
      <c r="K724" s="219"/>
      <c r="L724" s="222">
        <f>SUBTOTAL(9,L725)</f>
        <v>4374.3</v>
      </c>
      <c r="M724" s="223">
        <f t="shared" si="237"/>
        <v>1.5841319598762328E-4</v>
      </c>
    </row>
    <row r="725" spans="2:13" s="313" customFormat="1" ht="54" x14ac:dyDescent="0.2">
      <c r="B725" s="314" t="s">
        <v>1024</v>
      </c>
      <c r="C725" s="315" t="str">
        <f>VLOOKUP(D725,Fontes!$A$6:$H$11629,8,FALSE)</f>
        <v>SBC / RJ</v>
      </c>
      <c r="D725" s="315">
        <v>120432</v>
      </c>
      <c r="E725" s="204" t="s">
        <v>513</v>
      </c>
      <c r="F725" s="203">
        <v>47.64</v>
      </c>
      <c r="G725" s="203" t="str">
        <f>VLOOKUP(D725,Fontes!$A$6:$L$11629,3,FALSE)</f>
        <v>m2</v>
      </c>
      <c r="H725" s="203">
        <v>25.2</v>
      </c>
      <c r="I725" s="203">
        <v>66.61999999999999</v>
      </c>
      <c r="J725" s="203">
        <v>0</v>
      </c>
      <c r="K725" s="316">
        <f>ROUND(+H725+I725+J725,2)</f>
        <v>91.82</v>
      </c>
      <c r="L725" s="317">
        <f>ROUND(F725*K725,2)</f>
        <v>4374.3</v>
      </c>
      <c r="M725" s="318">
        <f t="shared" si="237"/>
        <v>1.5841319598762328E-4</v>
      </c>
    </row>
    <row r="726" spans="2:13" s="109" customFormat="1" ht="18" x14ac:dyDescent="0.2">
      <c r="B726" s="114"/>
      <c r="C726" s="115"/>
      <c r="D726" s="115"/>
      <c r="E726" s="116"/>
      <c r="F726" s="117"/>
      <c r="G726" s="117"/>
      <c r="H726" s="117"/>
      <c r="I726" s="117"/>
      <c r="J726" s="117"/>
      <c r="K726" s="118"/>
      <c r="L726" s="119"/>
      <c r="M726" s="120">
        <f t="shared" si="237"/>
        <v>0</v>
      </c>
    </row>
    <row r="727" spans="2:13" s="109" customFormat="1" ht="18" x14ac:dyDescent="0.2">
      <c r="B727" s="114"/>
      <c r="C727" s="115"/>
      <c r="D727" s="115"/>
      <c r="E727" s="116"/>
      <c r="F727" s="117"/>
      <c r="G727" s="117"/>
      <c r="H727" s="117"/>
      <c r="I727" s="117"/>
      <c r="J727" s="117"/>
      <c r="K727" s="118"/>
      <c r="L727" s="119"/>
      <c r="M727" s="120">
        <f t="shared" si="237"/>
        <v>0</v>
      </c>
    </row>
    <row r="728" spans="2:13" s="109" customFormat="1" ht="25.5" customHeight="1" x14ac:dyDescent="0.2">
      <c r="B728" s="206">
        <v>17</v>
      </c>
      <c r="C728" s="207"/>
      <c r="D728" s="207"/>
      <c r="E728" s="309" t="s">
        <v>1116</v>
      </c>
      <c r="F728" s="209"/>
      <c r="G728" s="205"/>
      <c r="H728" s="210"/>
      <c r="I728" s="210"/>
      <c r="J728" s="209"/>
      <c r="K728" s="209"/>
      <c r="L728" s="211">
        <f>SUBTOTAL(9,L729:L776)</f>
        <v>1564023.3600000006</v>
      </c>
      <c r="M728" s="212">
        <f t="shared" si="237"/>
        <v>5.6640362813913346E-2</v>
      </c>
    </row>
    <row r="729" spans="2:13" s="109" customFormat="1" ht="25.5" customHeight="1" x14ac:dyDescent="0.2">
      <c r="B729" s="217" t="s">
        <v>1025</v>
      </c>
      <c r="C729" s="218"/>
      <c r="D729" s="218"/>
      <c r="E729" s="311" t="s">
        <v>510</v>
      </c>
      <c r="F729" s="219"/>
      <c r="G729" s="220"/>
      <c r="H729" s="221"/>
      <c r="I729" s="221"/>
      <c r="J729" s="219"/>
      <c r="K729" s="219"/>
      <c r="L729" s="222">
        <f>SUBTOTAL(9,L730:L731)</f>
        <v>18237.66</v>
      </c>
      <c r="M729" s="223">
        <f t="shared" si="237"/>
        <v>6.6046819101013587E-4</v>
      </c>
    </row>
    <row r="730" spans="2:13" s="313" customFormat="1" ht="72" x14ac:dyDescent="0.2">
      <c r="B730" s="314" t="s">
        <v>1026</v>
      </c>
      <c r="C730" s="315" t="str">
        <f>VLOOKUP(D730,Fontes!$A$6:$H$11629,8,FALSE)</f>
        <v>SINAPI / RJ</v>
      </c>
      <c r="D730" s="315">
        <v>87620</v>
      </c>
      <c r="E730" s="204" t="str">
        <f>VLOOKUP(D730,Fontes!$A$6:$H$11629,2,FALSE)</f>
        <v>Contrapiso em argamassa traço 1:4 (cimento e areia), preparo mecânico com betoneira 400 l, aplicado em áreas secas sobre laje, aderido, acabamento não reforçado, espessura 2cm</v>
      </c>
      <c r="F730" s="203">
        <f>F733+F734+F735+F742+F743+F771</f>
        <v>504.35999999999996</v>
      </c>
      <c r="G730" s="203" t="str">
        <f>VLOOKUP(D730,Fontes!$A$6:$L$11629,3,FALSE)</f>
        <v>m2</v>
      </c>
      <c r="H730" s="203">
        <v>23.739603399433431</v>
      </c>
      <c r="I730" s="203">
        <v>12.317960339943344</v>
      </c>
      <c r="J730" s="203">
        <v>0.10243626062322947</v>
      </c>
      <c r="K730" s="316">
        <f>ROUND(+H730+I730+J730,2)</f>
        <v>36.159999999999997</v>
      </c>
      <c r="L730" s="317">
        <f>ROUND(F730*K730,2)</f>
        <v>18237.66</v>
      </c>
      <c r="M730" s="318">
        <f t="shared" si="237"/>
        <v>6.6046819101013587E-4</v>
      </c>
    </row>
    <row r="731" spans="2:13" s="109" customFormat="1" ht="18" x14ac:dyDescent="0.2">
      <c r="B731" s="114"/>
      <c r="C731" s="115"/>
      <c r="D731" s="115"/>
      <c r="E731" s="116"/>
      <c r="F731" s="117"/>
      <c r="G731" s="117"/>
      <c r="H731" s="117"/>
      <c r="I731" s="117"/>
      <c r="J731" s="117"/>
      <c r="K731" s="118"/>
      <c r="L731" s="119"/>
      <c r="M731" s="120">
        <f t="shared" si="237"/>
        <v>0</v>
      </c>
    </row>
    <row r="732" spans="2:13" s="109" customFormat="1" ht="25.5" customHeight="1" x14ac:dyDescent="0.2">
      <c r="B732" s="217" t="s">
        <v>1027</v>
      </c>
      <c r="C732" s="218"/>
      <c r="D732" s="218"/>
      <c r="E732" s="311" t="s">
        <v>516</v>
      </c>
      <c r="F732" s="219"/>
      <c r="G732" s="220"/>
      <c r="H732" s="221"/>
      <c r="I732" s="221"/>
      <c r="J732" s="219"/>
      <c r="K732" s="219"/>
      <c r="L732" s="222">
        <f>SUBTOTAL(9,L733:L736)</f>
        <v>28678.710000000003</v>
      </c>
      <c r="M732" s="223">
        <f t="shared" si="237"/>
        <v>1.0385858555431067E-3</v>
      </c>
    </row>
    <row r="733" spans="2:13" s="313" customFormat="1" ht="36" x14ac:dyDescent="0.2">
      <c r="B733" s="314" t="s">
        <v>1028</v>
      </c>
      <c r="C733" s="315" t="str">
        <f>VLOOKUP(D733,Fontes!$A$6:$H$11629,8,FALSE)</f>
        <v>FACC</v>
      </c>
      <c r="D733" s="315" t="s">
        <v>1199</v>
      </c>
      <c r="E733" s="204" t="str">
        <f>VLOOKUP(D733,Fontes!$A$6:$H$11629,2,FALSE)</f>
        <v>Revestimento em porcelanato Eliane Ártico Alpe AC 60 x 60 cm retificado em áreas menores que 5 m2</v>
      </c>
      <c r="F733" s="203">
        <v>28</v>
      </c>
      <c r="G733" s="203" t="str">
        <f>VLOOKUP(D733,Fontes!$A$6:$L$11629,3,FALSE)</f>
        <v>m2</v>
      </c>
      <c r="H733" s="203">
        <v>140.62</v>
      </c>
      <c r="I733" s="203">
        <v>57.940000000000005</v>
      </c>
      <c r="J733" s="203">
        <v>0</v>
      </c>
      <c r="K733" s="316">
        <f t="shared" ref="K733:K736" si="242">ROUND(+H733+I733+J733,2)</f>
        <v>198.56</v>
      </c>
      <c r="L733" s="317">
        <f t="shared" ref="L733:L736" si="243">ROUND(F733*K733,2)</f>
        <v>5559.68</v>
      </c>
      <c r="M733" s="318">
        <f t="shared" si="237"/>
        <v>2.0134116943704578E-4</v>
      </c>
    </row>
    <row r="734" spans="2:13" s="313" customFormat="1" ht="36" x14ac:dyDescent="0.2">
      <c r="B734" s="314" t="s">
        <v>1033</v>
      </c>
      <c r="C734" s="315" t="str">
        <f>VLOOKUP(D734,Fontes!$A$6:$H$11629,8,FALSE)</f>
        <v>FACC</v>
      </c>
      <c r="D734" s="315" t="s">
        <v>1198</v>
      </c>
      <c r="E734" s="204" t="str">
        <f>VLOOKUP(D734,Fontes!$A$6:$H$11629,2,FALSE)</f>
        <v>Revestimento em porcelanato Eliane Ártico Alpe AC 60 x 60 cm retificado em áreas entre 5 e 10 m2</v>
      </c>
      <c r="F734" s="203">
        <v>59.1</v>
      </c>
      <c r="G734" s="203" t="str">
        <f>VLOOKUP(D734,Fontes!$A$6:$L$11629,3,FALSE)</f>
        <v>m2</v>
      </c>
      <c r="H734" s="203">
        <v>136.38999999999999</v>
      </c>
      <c r="I734" s="203">
        <v>39.090000000000003</v>
      </c>
      <c r="J734" s="203">
        <v>0</v>
      </c>
      <c r="K734" s="316">
        <f t="shared" si="242"/>
        <v>175.48</v>
      </c>
      <c r="L734" s="317">
        <f t="shared" si="243"/>
        <v>10370.870000000001</v>
      </c>
      <c r="M734" s="318">
        <f t="shared" si="237"/>
        <v>3.7557612918002027E-4</v>
      </c>
    </row>
    <row r="735" spans="2:13" s="313" customFormat="1" ht="36" x14ac:dyDescent="0.2">
      <c r="B735" s="314" t="s">
        <v>2044</v>
      </c>
      <c r="C735" s="315" t="str">
        <f>VLOOKUP(D735,Fontes!$A$6:$H$11629,8,FALSE)</f>
        <v>FACC</v>
      </c>
      <c r="D735" s="315" t="s">
        <v>1197</v>
      </c>
      <c r="E735" s="204" t="str">
        <f>VLOOKUP(D735,Fontes!$A$6:$H$11629,2,FALSE)</f>
        <v>Revestimento em porcelanato Eliane Ártico Alpe AC 60 x 60 cm retificado em áreas maiores que 10 m2</v>
      </c>
      <c r="F735" s="203">
        <v>70.7</v>
      </c>
      <c r="G735" s="203" t="str">
        <f>VLOOKUP(D735,Fontes!$A$6:$L$11629,3,FALSE)</f>
        <v>m2</v>
      </c>
      <c r="H735" s="203">
        <v>135.32999999999998</v>
      </c>
      <c r="I735" s="203">
        <v>25.54</v>
      </c>
      <c r="J735" s="203">
        <v>0</v>
      </c>
      <c r="K735" s="316">
        <f t="shared" si="242"/>
        <v>160.87</v>
      </c>
      <c r="L735" s="317">
        <f t="shared" si="243"/>
        <v>11373.51</v>
      </c>
      <c r="M735" s="318">
        <f t="shared" si="237"/>
        <v>4.118862603610162E-4</v>
      </c>
    </row>
    <row r="736" spans="2:13" s="313" customFormat="1" ht="36" x14ac:dyDescent="0.2">
      <c r="B736" s="314" t="s">
        <v>2045</v>
      </c>
      <c r="C736" s="315" t="str">
        <f>VLOOKUP(D736,Fontes!$A$6:$H$11629,8,FALSE)</f>
        <v>FACC</v>
      </c>
      <c r="D736" s="315" t="s">
        <v>1204</v>
      </c>
      <c r="E736" s="204" t="str">
        <f>VLOOKUP(D736,Fontes!$A$6:$H$11629,2,FALSE)</f>
        <v>Rodapé em porcelanato Eliane Ártico Alpe AC 9,5 x 60 cm retificado</v>
      </c>
      <c r="F736" s="203">
        <v>47.5</v>
      </c>
      <c r="G736" s="203" t="str">
        <f>VLOOKUP(D736,Fontes!$A$6:$L$11629,3,FALSE)</f>
        <v>m</v>
      </c>
      <c r="H736" s="203">
        <v>24.25</v>
      </c>
      <c r="I736" s="203">
        <v>4.6899999999999995</v>
      </c>
      <c r="J736" s="203">
        <v>0</v>
      </c>
      <c r="K736" s="316">
        <f t="shared" si="242"/>
        <v>28.94</v>
      </c>
      <c r="L736" s="317">
        <f t="shared" si="243"/>
        <v>1374.65</v>
      </c>
      <c r="M736" s="318">
        <f t="shared" si="237"/>
        <v>4.9782296565024429E-5</v>
      </c>
    </row>
    <row r="737" spans="2:13" s="109" customFormat="1" ht="18" x14ac:dyDescent="0.2">
      <c r="B737" s="114"/>
      <c r="C737" s="115"/>
      <c r="D737" s="115"/>
      <c r="E737" s="116"/>
      <c r="F737" s="117"/>
      <c r="G737" s="117"/>
      <c r="H737" s="117"/>
      <c r="I737" s="117"/>
      <c r="J737" s="117"/>
      <c r="K737" s="118"/>
      <c r="L737" s="119"/>
      <c r="M737" s="120">
        <f t="shared" si="237"/>
        <v>0</v>
      </c>
    </row>
    <row r="738" spans="2:13" s="109" customFormat="1" ht="25.5" customHeight="1" x14ac:dyDescent="0.2">
      <c r="B738" s="217" t="s">
        <v>1029</v>
      </c>
      <c r="C738" s="218"/>
      <c r="D738" s="218"/>
      <c r="E738" s="311" t="s">
        <v>523</v>
      </c>
      <c r="F738" s="219"/>
      <c r="G738" s="220"/>
      <c r="H738" s="221"/>
      <c r="I738" s="221"/>
      <c r="J738" s="219"/>
      <c r="K738" s="219"/>
      <c r="L738" s="222">
        <f>SUBTOTAL(9,L739:L740)</f>
        <v>46593.71</v>
      </c>
      <c r="M738" s="223">
        <f t="shared" si="237"/>
        <v>1.6873690679698426E-3</v>
      </c>
    </row>
    <row r="739" spans="2:13" s="313" customFormat="1" ht="18" x14ac:dyDescent="0.2">
      <c r="B739" s="314" t="s">
        <v>1030</v>
      </c>
      <c r="C739" s="315" t="str">
        <f>VLOOKUP(D739,Fontes!$A$6:$H$11629,8,FALSE)</f>
        <v>SBC / RJ</v>
      </c>
      <c r="D739" s="315">
        <v>130315</v>
      </c>
      <c r="E739" s="204" t="str">
        <f>VLOOKUP(D739,Fontes!$A$6:$H$11629,2,FALSE)</f>
        <v>Rodapé de poliestileno h= 10 cm</v>
      </c>
      <c r="F739" s="203">
        <v>605.9</v>
      </c>
      <c r="G739" s="203" t="str">
        <f>VLOOKUP(D739,Fontes!$A$6:$L$11629,3,FALSE)</f>
        <v>m</v>
      </c>
      <c r="H739" s="203">
        <v>63.87</v>
      </c>
      <c r="I739" s="203">
        <v>13.030000000000008</v>
      </c>
      <c r="J739" s="203">
        <v>0</v>
      </c>
      <c r="K739" s="316">
        <f>ROUND(+H739+I739+J739,2)</f>
        <v>76.900000000000006</v>
      </c>
      <c r="L739" s="317">
        <f>ROUND(F739*K739,2)</f>
        <v>46593.71</v>
      </c>
      <c r="M739" s="318">
        <f t="shared" si="237"/>
        <v>1.6873690679698426E-3</v>
      </c>
    </row>
    <row r="740" spans="2:13" s="109" customFormat="1" ht="18" x14ac:dyDescent="0.2">
      <c r="B740" s="114"/>
      <c r="C740" s="115"/>
      <c r="D740" s="115"/>
      <c r="E740" s="116"/>
      <c r="F740" s="117"/>
      <c r="G740" s="117"/>
      <c r="H740" s="117"/>
      <c r="I740" s="117"/>
      <c r="J740" s="117"/>
      <c r="K740" s="118"/>
      <c r="L740" s="119"/>
      <c r="M740" s="120">
        <f t="shared" si="237"/>
        <v>0</v>
      </c>
    </row>
    <row r="741" spans="2:13" s="109" customFormat="1" ht="25.5" customHeight="1" x14ac:dyDescent="0.2">
      <c r="B741" s="217" t="s">
        <v>1031</v>
      </c>
      <c r="C741" s="218"/>
      <c r="D741" s="218"/>
      <c r="E741" s="311" t="s">
        <v>517</v>
      </c>
      <c r="F741" s="219"/>
      <c r="G741" s="220"/>
      <c r="H741" s="221"/>
      <c r="I741" s="221"/>
      <c r="J741" s="219"/>
      <c r="K741" s="219"/>
      <c r="L741" s="222">
        <f>SUBTOTAL(9,L742:L755)</f>
        <v>518386.09999999992</v>
      </c>
      <c r="M741" s="223">
        <f t="shared" si="237"/>
        <v>1.8773106292791913E-2</v>
      </c>
    </row>
    <row r="742" spans="2:13" s="313" customFormat="1" ht="18" x14ac:dyDescent="0.2">
      <c r="B742" s="314" t="s">
        <v>1032</v>
      </c>
      <c r="C742" s="315" t="str">
        <f>VLOOKUP(D742,Fontes!$A$6:$H$11629,8,FALSE)</f>
        <v>FACC</v>
      </c>
      <c r="D742" s="315" t="s">
        <v>1205</v>
      </c>
      <c r="E742" s="204" t="e">
        <f>VLOOKUP(D742,Fontes!$A$6:$H$11629,2,FALSE)</f>
        <v>#REF!</v>
      </c>
      <c r="F742" s="203">
        <v>250.22</v>
      </c>
      <c r="G742" s="203" t="e">
        <f>VLOOKUP(D742,Fontes!$A$6:$L$11629,3,FALSE)</f>
        <v>#REF!</v>
      </c>
      <c r="H742" s="203">
        <v>1145.1600000000001</v>
      </c>
      <c r="I742" s="203">
        <v>3.9</v>
      </c>
      <c r="J742" s="203">
        <v>0</v>
      </c>
      <c r="K742" s="316">
        <f t="shared" ref="K742:K750" si="244">ROUND(+H742+I742+J742,2)</f>
        <v>1149.06</v>
      </c>
      <c r="L742" s="317">
        <f t="shared" ref="L742:L750" si="245">ROUND(F742*K742,2)</f>
        <v>287517.78999999998</v>
      </c>
      <c r="M742" s="318">
        <f t="shared" si="237"/>
        <v>1.0412320146583066E-2</v>
      </c>
    </row>
    <row r="743" spans="2:13" s="313" customFormat="1" ht="18" x14ac:dyDescent="0.2">
      <c r="B743" s="314" t="s">
        <v>1034</v>
      </c>
      <c r="C743" s="315" t="str">
        <f>VLOOKUP(D743,Fontes!$A$6:$H$11629,8,FALSE)</f>
        <v>FACC</v>
      </c>
      <c r="D743" s="315" t="s">
        <v>1206</v>
      </c>
      <c r="E743" s="204" t="e">
        <f>VLOOKUP(D743,Fontes!$A$6:$H$11629,2,FALSE)</f>
        <v>#REF!</v>
      </c>
      <c r="F743" s="203">
        <v>44.02</v>
      </c>
      <c r="G743" s="203" t="e">
        <f>VLOOKUP(D743,Fontes!$A$6:$L$11629,3,FALSE)</f>
        <v>#REF!</v>
      </c>
      <c r="H743" s="203">
        <v>1222.9100000000001</v>
      </c>
      <c r="I743" s="203">
        <v>3.9</v>
      </c>
      <c r="J743" s="203">
        <v>0</v>
      </c>
      <c r="K743" s="316">
        <f t="shared" si="244"/>
        <v>1226.81</v>
      </c>
      <c r="L743" s="317">
        <f t="shared" si="245"/>
        <v>54004.18</v>
      </c>
      <c r="M743" s="318">
        <f t="shared" si="237"/>
        <v>1.9557357178270549E-3</v>
      </c>
    </row>
    <row r="744" spans="2:13" s="313" customFormat="1" ht="18" x14ac:dyDescent="0.2">
      <c r="B744" s="314" t="s">
        <v>1035</v>
      </c>
      <c r="C744" s="315" t="str">
        <f>VLOOKUP(D744,Fontes!$A$6:$H$11629,8,FALSE)</f>
        <v>FACC</v>
      </c>
      <c r="D744" s="315" t="s">
        <v>1207</v>
      </c>
      <c r="E744" s="204" t="e">
        <f>VLOOKUP(D744,Fontes!$A$6:$H$11629,2,FALSE)</f>
        <v>#REF!</v>
      </c>
      <c r="F744" s="203">
        <v>230.2</v>
      </c>
      <c r="G744" s="203" t="e">
        <f>VLOOKUP(D744,Fontes!$A$6:$L$11629,3,FALSE)</f>
        <v>#REF!</v>
      </c>
      <c r="H744" s="203">
        <v>267.11</v>
      </c>
      <c r="I744" s="203">
        <v>0</v>
      </c>
      <c r="J744" s="203">
        <v>0</v>
      </c>
      <c r="K744" s="316">
        <f t="shared" si="244"/>
        <v>267.11</v>
      </c>
      <c r="L744" s="317">
        <f t="shared" si="245"/>
        <v>61488.72</v>
      </c>
      <c r="M744" s="318">
        <f t="shared" si="237"/>
        <v>2.226784777538827E-3</v>
      </c>
    </row>
    <row r="745" spans="2:13" s="313" customFormat="1" ht="18" x14ac:dyDescent="0.2">
      <c r="B745" s="314" t="s">
        <v>1036</v>
      </c>
      <c r="C745" s="315" t="str">
        <f>VLOOKUP(D745,Fontes!$A$6:$H$11629,8,FALSE)</f>
        <v>FACC</v>
      </c>
      <c r="D745" s="315" t="s">
        <v>1208</v>
      </c>
      <c r="E745" s="204" t="e">
        <f>VLOOKUP(D745,Fontes!$A$6:$H$11629,2,FALSE)</f>
        <v>#REF!</v>
      </c>
      <c r="F745" s="203">
        <v>39.799999999999997</v>
      </c>
      <c r="G745" s="203" t="e">
        <f>VLOOKUP(D745,Fontes!$A$6:$L$11629,3,FALSE)</f>
        <v>#REF!</v>
      </c>
      <c r="H745" s="203">
        <v>281.39999999999998</v>
      </c>
      <c r="I745" s="203">
        <v>0</v>
      </c>
      <c r="J745" s="203">
        <v>0</v>
      </c>
      <c r="K745" s="316">
        <f t="shared" si="244"/>
        <v>281.39999999999998</v>
      </c>
      <c r="L745" s="317">
        <f t="shared" si="245"/>
        <v>11199.72</v>
      </c>
      <c r="M745" s="318">
        <f t="shared" si="237"/>
        <v>4.0559253808986675E-4</v>
      </c>
    </row>
    <row r="746" spans="2:13" s="313" customFormat="1" ht="18" x14ac:dyDescent="0.2">
      <c r="B746" s="314" t="s">
        <v>1037</v>
      </c>
      <c r="C746" s="315" t="str">
        <f>VLOOKUP(D746,Fontes!$A$6:$H$11629,8,FALSE)</f>
        <v>FACC</v>
      </c>
      <c r="D746" s="315" t="s">
        <v>1209</v>
      </c>
      <c r="E746" s="204" t="e">
        <f>VLOOKUP(D746,Fontes!$A$6:$H$11629,2,FALSE)</f>
        <v>#REF!</v>
      </c>
      <c r="F746" s="203">
        <v>52.7</v>
      </c>
      <c r="G746" s="203" t="e">
        <f>VLOOKUP(D746,Fontes!$A$6:$L$11629,3,FALSE)</f>
        <v>#REF!</v>
      </c>
      <c r="H746" s="203">
        <v>155.6</v>
      </c>
      <c r="I746" s="203">
        <v>4.82</v>
      </c>
      <c r="J746" s="203">
        <v>0</v>
      </c>
      <c r="K746" s="316">
        <f t="shared" si="244"/>
        <v>160.41999999999999</v>
      </c>
      <c r="L746" s="317">
        <f t="shared" si="245"/>
        <v>8454.1299999999992</v>
      </c>
      <c r="M746" s="318">
        <f t="shared" si="237"/>
        <v>3.0616230084695733E-4</v>
      </c>
    </row>
    <row r="747" spans="2:13" s="313" customFormat="1" ht="18" x14ac:dyDescent="0.2">
      <c r="B747" s="314" t="s">
        <v>1038</v>
      </c>
      <c r="C747" s="315" t="str">
        <f>VLOOKUP(D747,Fontes!$A$6:$H$11629,8,FALSE)</f>
        <v>FACC</v>
      </c>
      <c r="D747" s="315" t="s">
        <v>1210</v>
      </c>
      <c r="E747" s="204" t="e">
        <f>VLOOKUP(D747,Fontes!$A$6:$H$11629,2,FALSE)</f>
        <v>#REF!</v>
      </c>
      <c r="F747" s="203">
        <v>51.55</v>
      </c>
      <c r="G747" s="203" t="e">
        <f>VLOOKUP(D747,Fontes!$A$6:$L$11629,3,FALSE)</f>
        <v>#REF!</v>
      </c>
      <c r="H747" s="203">
        <v>166.25</v>
      </c>
      <c r="I747" s="203">
        <v>4.82</v>
      </c>
      <c r="J747" s="203">
        <v>0</v>
      </c>
      <c r="K747" s="316">
        <f t="shared" si="244"/>
        <v>171.07</v>
      </c>
      <c r="L747" s="317">
        <f t="shared" si="245"/>
        <v>8818.66</v>
      </c>
      <c r="M747" s="318">
        <f t="shared" si="237"/>
        <v>3.1936358158521681E-4</v>
      </c>
    </row>
    <row r="748" spans="2:13" s="313" customFormat="1" ht="18" x14ac:dyDescent="0.2">
      <c r="B748" s="314" t="s">
        <v>1039</v>
      </c>
      <c r="C748" s="315" t="str">
        <f>VLOOKUP(D748,Fontes!$A$6:$H$11629,8,FALSE)</f>
        <v>FACC</v>
      </c>
      <c r="D748" s="315" t="s">
        <v>1278</v>
      </c>
      <c r="E748" s="204" t="e">
        <f>VLOOKUP(D748,Fontes!$A$6:$H$11629,2,FALSE)</f>
        <v>#REF!</v>
      </c>
      <c r="F748" s="203">
        <v>4</v>
      </c>
      <c r="G748" s="203" t="e">
        <f>VLOOKUP(D748,Fontes!$A$6:$L$11629,3,FALSE)</f>
        <v>#REF!</v>
      </c>
      <c r="H748" s="203">
        <v>1340.1</v>
      </c>
      <c r="I748" s="203">
        <v>0</v>
      </c>
      <c r="J748" s="203">
        <v>0</v>
      </c>
      <c r="K748" s="316">
        <f t="shared" ref="K748" si="246">ROUND(+H748+I748+J748,2)</f>
        <v>1340.1</v>
      </c>
      <c r="L748" s="317">
        <f t="shared" ref="L748" si="247">ROUND(F748*K748,2)</f>
        <v>5360.4</v>
      </c>
      <c r="M748" s="318">
        <f t="shared" si="237"/>
        <v>1.941243389278412E-4</v>
      </c>
    </row>
    <row r="749" spans="2:13" s="313" customFormat="1" ht="18" x14ac:dyDescent="0.2">
      <c r="B749" s="314" t="s">
        <v>1040</v>
      </c>
      <c r="C749" s="315" t="str">
        <f>VLOOKUP(D749,Fontes!$A$6:$H$11629,8,FALSE)</f>
        <v>FACC</v>
      </c>
      <c r="D749" s="315" t="s">
        <v>1284</v>
      </c>
      <c r="E749" s="204" t="e">
        <f>VLOOKUP(D749,Fontes!$A$6:$H$11629,2,FALSE)</f>
        <v>#REF!</v>
      </c>
      <c r="F749" s="203">
        <v>3</v>
      </c>
      <c r="G749" s="203" t="e">
        <f>VLOOKUP(D749,Fontes!$A$6:$L$11629,3,FALSE)</f>
        <v>#REF!</v>
      </c>
      <c r="H749" s="203">
        <v>2613.19</v>
      </c>
      <c r="I749" s="203">
        <v>1.52</v>
      </c>
      <c r="J749" s="203">
        <v>0</v>
      </c>
      <c r="K749" s="316">
        <f t="shared" si="244"/>
        <v>2614.71</v>
      </c>
      <c r="L749" s="317">
        <f t="shared" si="245"/>
        <v>7844.13</v>
      </c>
      <c r="M749" s="318">
        <f t="shared" si="237"/>
        <v>2.8407144069734483E-4</v>
      </c>
    </row>
    <row r="750" spans="2:13" s="313" customFormat="1" ht="18" x14ac:dyDescent="0.2">
      <c r="B750" s="314" t="s">
        <v>2046</v>
      </c>
      <c r="C750" s="315" t="str">
        <f>VLOOKUP(D750,Fontes!$A$6:$H$11629,8,FALSE)</f>
        <v>FACC</v>
      </c>
      <c r="D750" s="315" t="s">
        <v>1285</v>
      </c>
      <c r="E750" s="204" t="e">
        <f>VLOOKUP(D750,Fontes!$A$6:$H$11629,2,FALSE)</f>
        <v>#REF!</v>
      </c>
      <c r="F750" s="203">
        <v>3</v>
      </c>
      <c r="G750" s="203" t="e">
        <f>VLOOKUP(D750,Fontes!$A$6:$L$11629,3,FALSE)</f>
        <v>#REF!</v>
      </c>
      <c r="H750" s="203">
        <v>2658.43</v>
      </c>
      <c r="I750" s="203">
        <v>1.58</v>
      </c>
      <c r="J750" s="203">
        <v>0</v>
      </c>
      <c r="K750" s="316">
        <f t="shared" si="244"/>
        <v>2660.01</v>
      </c>
      <c r="L750" s="317">
        <f t="shared" si="245"/>
        <v>7980.03</v>
      </c>
      <c r="M750" s="318">
        <f t="shared" si="237"/>
        <v>2.8899299462247977E-4</v>
      </c>
    </row>
    <row r="751" spans="2:13" s="313" customFormat="1" ht="18" x14ac:dyDescent="0.2">
      <c r="B751" s="314" t="s">
        <v>2047</v>
      </c>
      <c r="C751" s="315" t="str">
        <f>VLOOKUP(D751,Fontes!$A$6:$H$11629,8,FALSE)</f>
        <v>FACC</v>
      </c>
      <c r="D751" s="315" t="s">
        <v>1279</v>
      </c>
      <c r="E751" s="204" t="e">
        <f>VLOOKUP(D751,Fontes!$A$6:$H$11629,2,FALSE)</f>
        <v>#REF!</v>
      </c>
      <c r="F751" s="203">
        <v>46</v>
      </c>
      <c r="G751" s="203" t="e">
        <f>VLOOKUP(D751,Fontes!$A$6:$L$11629,3,FALSE)</f>
        <v>#REF!</v>
      </c>
      <c r="H751" s="203">
        <v>686.49</v>
      </c>
      <c r="I751" s="203">
        <v>0</v>
      </c>
      <c r="J751" s="203">
        <v>0</v>
      </c>
      <c r="K751" s="316">
        <f t="shared" ref="K751:K753" si="248">ROUND(+H751+I751+J751,2)</f>
        <v>686.49</v>
      </c>
      <c r="L751" s="317">
        <f t="shared" ref="L751:L753" si="249">ROUND(F751*K751,2)</f>
        <v>31578.54</v>
      </c>
      <c r="M751" s="318">
        <f t="shared" si="237"/>
        <v>1.1436018210966329E-3</v>
      </c>
    </row>
    <row r="752" spans="2:13" s="313" customFormat="1" ht="18" x14ac:dyDescent="0.2">
      <c r="B752" s="314" t="s">
        <v>2048</v>
      </c>
      <c r="C752" s="315" t="str">
        <f>VLOOKUP(D752,Fontes!$A$6:$H$11629,8,FALSE)</f>
        <v>FACC</v>
      </c>
      <c r="D752" s="315" t="s">
        <v>1280</v>
      </c>
      <c r="E752" s="204" t="e">
        <f>VLOOKUP(D752,Fontes!$A$6:$H$11629,2,FALSE)</f>
        <v>#REF!</v>
      </c>
      <c r="F752" s="203">
        <v>52</v>
      </c>
      <c r="G752" s="203" t="e">
        <f>VLOOKUP(D752,Fontes!$A$6:$L$11629,3,FALSE)</f>
        <v>#REF!</v>
      </c>
      <c r="H752" s="203">
        <v>308.68</v>
      </c>
      <c r="I752" s="203">
        <v>0</v>
      </c>
      <c r="J752" s="203">
        <v>0</v>
      </c>
      <c r="K752" s="316">
        <f t="shared" si="248"/>
        <v>308.68</v>
      </c>
      <c r="L752" s="317">
        <f t="shared" si="249"/>
        <v>16051.36</v>
      </c>
      <c r="M752" s="318">
        <f t="shared" si="237"/>
        <v>5.8129237536243446E-4</v>
      </c>
    </row>
    <row r="753" spans="2:13" s="313" customFormat="1" ht="18" x14ac:dyDescent="0.2">
      <c r="B753" s="314" t="s">
        <v>2049</v>
      </c>
      <c r="C753" s="315" t="str">
        <f>VLOOKUP(D753,Fontes!$A$6:$H$11629,8,FALSE)</f>
        <v>FACC</v>
      </c>
      <c r="D753" s="315" t="s">
        <v>1281</v>
      </c>
      <c r="E753" s="204" t="e">
        <f>VLOOKUP(D753,Fontes!$A$6:$H$11629,2,FALSE)</f>
        <v>#REF!</v>
      </c>
      <c r="F753" s="203">
        <v>8</v>
      </c>
      <c r="G753" s="203" t="e">
        <f>VLOOKUP(D753,Fontes!$A$6:$L$11629,3,FALSE)</f>
        <v>#REF!</v>
      </c>
      <c r="H753" s="203">
        <v>1108</v>
      </c>
      <c r="I753" s="203">
        <v>0.72</v>
      </c>
      <c r="J753" s="203">
        <v>0</v>
      </c>
      <c r="K753" s="316">
        <f t="shared" si="248"/>
        <v>1108.72</v>
      </c>
      <c r="L753" s="317">
        <f t="shared" si="249"/>
        <v>8869.76</v>
      </c>
      <c r="M753" s="318">
        <f t="shared" si="237"/>
        <v>3.2121414380430733E-4</v>
      </c>
    </row>
    <row r="754" spans="2:13" s="313" customFormat="1" ht="18" x14ac:dyDescent="0.2">
      <c r="B754" s="314" t="s">
        <v>2050</v>
      </c>
      <c r="C754" s="315" t="str">
        <f>VLOOKUP(D754,Fontes!$A$6:$H$11629,8,FALSE)</f>
        <v>FACC</v>
      </c>
      <c r="D754" s="315" t="s">
        <v>1282</v>
      </c>
      <c r="E754" s="204" t="e">
        <f>VLOOKUP(D754,Fontes!$A$6:$H$11629,2,FALSE)</f>
        <v>#REF!</v>
      </c>
      <c r="F754" s="203">
        <v>4</v>
      </c>
      <c r="G754" s="203" t="e">
        <f>VLOOKUP(D754,Fontes!$A$6:$L$11629,3,FALSE)</f>
        <v>#REF!</v>
      </c>
      <c r="H754" s="203">
        <v>1064.45</v>
      </c>
      <c r="I754" s="203">
        <v>0.68</v>
      </c>
      <c r="J754" s="203">
        <v>0</v>
      </c>
      <c r="K754" s="316">
        <f t="shared" ref="K754:K755" si="250">ROUND(+H754+I754+J754,2)</f>
        <v>1065.1300000000001</v>
      </c>
      <c r="L754" s="317">
        <f t="shared" ref="L754:L755" si="251">ROUND(F754*K754,2)</f>
        <v>4260.5200000000004</v>
      </c>
      <c r="M754" s="318">
        <f t="shared" si="237"/>
        <v>1.5429270735184801E-4</v>
      </c>
    </row>
    <row r="755" spans="2:13" s="313" customFormat="1" ht="18" x14ac:dyDescent="0.2">
      <c r="B755" s="314" t="s">
        <v>2051</v>
      </c>
      <c r="C755" s="315" t="str">
        <f>VLOOKUP(D755,Fontes!$A$6:$H$11629,8,FALSE)</f>
        <v>FACC</v>
      </c>
      <c r="D755" s="315" t="s">
        <v>1283</v>
      </c>
      <c r="E755" s="204" t="e">
        <f>VLOOKUP(D755,Fontes!$A$6:$H$11629,2,FALSE)</f>
        <v>#REF!</v>
      </c>
      <c r="F755" s="203">
        <v>4</v>
      </c>
      <c r="G755" s="203" t="e">
        <f>VLOOKUP(D755,Fontes!$A$6:$L$11629,3,FALSE)</f>
        <v>#REF!</v>
      </c>
      <c r="H755" s="203">
        <v>1238.74</v>
      </c>
      <c r="I755" s="203">
        <v>0.8</v>
      </c>
      <c r="J755" s="203">
        <v>0</v>
      </c>
      <c r="K755" s="316">
        <f t="shared" si="250"/>
        <v>1239.54</v>
      </c>
      <c r="L755" s="317">
        <f t="shared" si="251"/>
        <v>4958.16</v>
      </c>
      <c r="M755" s="318">
        <f t="shared" si="237"/>
        <v>1.7955740845803769E-4</v>
      </c>
    </row>
    <row r="756" spans="2:13" s="109" customFormat="1" ht="18" x14ac:dyDescent="0.2">
      <c r="B756" s="114"/>
      <c r="C756" s="115"/>
      <c r="D756" s="115"/>
      <c r="E756" s="116"/>
      <c r="F756" s="117"/>
      <c r="G756" s="117"/>
      <c r="H756" s="117"/>
      <c r="I756" s="117"/>
      <c r="J756" s="117"/>
      <c r="K756" s="118"/>
      <c r="L756" s="119"/>
      <c r="M756" s="120">
        <f t="shared" si="237"/>
        <v>0</v>
      </c>
    </row>
    <row r="757" spans="2:13" s="109" customFormat="1" ht="25.5" customHeight="1" x14ac:dyDescent="0.2">
      <c r="B757" s="217" t="s">
        <v>1041</v>
      </c>
      <c r="C757" s="218"/>
      <c r="D757" s="218"/>
      <c r="E757" s="311" t="s">
        <v>518</v>
      </c>
      <c r="F757" s="219"/>
      <c r="G757" s="220"/>
      <c r="H757" s="221"/>
      <c r="I757" s="221"/>
      <c r="J757" s="219"/>
      <c r="K757" s="219"/>
      <c r="L757" s="222">
        <f>SUBTOTAL(9,L758:L760)</f>
        <v>680202.21</v>
      </c>
      <c r="M757" s="223">
        <f t="shared" si="237"/>
        <v>2.4633199827159655E-2</v>
      </c>
    </row>
    <row r="758" spans="2:13" s="313" customFormat="1" ht="72" x14ac:dyDescent="0.2">
      <c r="B758" s="314" t="s">
        <v>1042</v>
      </c>
      <c r="C758" s="315" t="str">
        <f>VLOOKUP(D758,Fontes!$A$6:$H$11629,8,FALSE)</f>
        <v>Custo Mercado Reajustado</v>
      </c>
      <c r="D758" s="315" t="s">
        <v>1364</v>
      </c>
      <c r="E758" s="204" t="str">
        <f>VLOOKUP(D758,Fontes!$A$6:$H$11629,2,FALSE)</f>
        <v>Piso elevado de aço com preenchimento em concreto celular revestido com placa vinílica 60x60 cm referências Remaster (piso elevado) eTarkett THRU 9205691 (vinílico) ou equivalentes</v>
      </c>
      <c r="F758" s="203">
        <v>638</v>
      </c>
      <c r="G758" s="203" t="str">
        <f>VLOOKUP(D758,Fontes!$A$6:$L$11629,3,FALSE)</f>
        <v>m2</v>
      </c>
      <c r="H758" s="203">
        <v>683.72030430858365</v>
      </c>
      <c r="I758" s="203">
        <v>43.683130075068895</v>
      </c>
      <c r="J758" s="203">
        <v>0</v>
      </c>
      <c r="K758" s="316">
        <f t="shared" ref="K758:K759" si="252">ROUND(+H758+I758+J758,2)</f>
        <v>727.4</v>
      </c>
      <c r="L758" s="317">
        <f t="shared" ref="L758:L759" si="253">ROUND(F758*K758,2)</f>
        <v>464081.2</v>
      </c>
      <c r="M758" s="318">
        <f t="shared" si="237"/>
        <v>1.680648014305635E-2</v>
      </c>
    </row>
    <row r="759" spans="2:13" s="313" customFormat="1" ht="54" x14ac:dyDescent="0.2">
      <c r="B759" s="314" t="s">
        <v>1043</v>
      </c>
      <c r="C759" s="315" t="str">
        <f>VLOOKUP(D759,Fontes!$A$6:$H$11629,8,FALSE)</f>
        <v>Custo Mercado Reajustado</v>
      </c>
      <c r="D759" s="315" t="s">
        <v>1365</v>
      </c>
      <c r="E759" s="204" t="str">
        <f>VLOOKUP(D759,Fontes!$A$6:$H$11629,2,FALSE)</f>
        <v>Piso elevado com sistema de apoio plástico revestido com placa de concreto e= 40 mm com tratamento em resina acrílica 60x60 cm referência Stone ou equivalente</v>
      </c>
      <c r="F759" s="203">
        <v>226</v>
      </c>
      <c r="G759" s="203" t="str">
        <f>VLOOKUP(D759,Fontes!$A$6:$L$11629,3,FALSE)</f>
        <v>m2</v>
      </c>
      <c r="H759" s="203">
        <v>851.82400886298421</v>
      </c>
      <c r="I759" s="203">
        <v>43.683130075068895</v>
      </c>
      <c r="J759" s="203">
        <v>0</v>
      </c>
      <c r="K759" s="316">
        <f t="shared" si="252"/>
        <v>895.51</v>
      </c>
      <c r="L759" s="317">
        <f t="shared" si="253"/>
        <v>202385.26</v>
      </c>
      <c r="M759" s="318">
        <f t="shared" si="237"/>
        <v>7.329286024595043E-3</v>
      </c>
    </row>
    <row r="760" spans="2:13" s="313" customFormat="1" ht="54" x14ac:dyDescent="0.2">
      <c r="B760" s="314" t="s">
        <v>2052</v>
      </c>
      <c r="C760" s="315" t="str">
        <f>VLOOKUP(D760,Fontes!$A$6:$H$11629,8,FALSE)</f>
        <v>Custo Mercado Reajustado</v>
      </c>
      <c r="D760" s="315" t="s">
        <v>1366</v>
      </c>
      <c r="E760" s="204" t="str">
        <f>VLOOKUP(D760,Fontes!$A$6:$H$11629,2,FALSE)</f>
        <v>Rampa em placas de aço revestida com borracha pastilhada na cor preta</v>
      </c>
      <c r="F760" s="203">
        <v>17.5</v>
      </c>
      <c r="G760" s="203" t="str">
        <f>VLOOKUP(D760,Fontes!$A$6:$L$11629,3,FALSE)</f>
        <v>m2</v>
      </c>
      <c r="H760" s="203">
        <v>784.90162000000009</v>
      </c>
      <c r="I760" s="203">
        <v>0</v>
      </c>
      <c r="J760" s="203">
        <v>0</v>
      </c>
      <c r="K760" s="316">
        <f t="shared" ref="K760" si="254">ROUND(+H760+I760+J760,2)</f>
        <v>784.9</v>
      </c>
      <c r="L760" s="317">
        <f t="shared" ref="L760" si="255">ROUND(F760*K760,2)</f>
        <v>13735.75</v>
      </c>
      <c r="M760" s="318">
        <f t="shared" si="237"/>
        <v>4.9743365950826336E-4</v>
      </c>
    </row>
    <row r="761" spans="2:13" s="109" customFormat="1" ht="18" x14ac:dyDescent="0.2">
      <c r="B761" s="114"/>
      <c r="C761" s="115"/>
      <c r="D761" s="115"/>
      <c r="E761" s="116"/>
      <c r="F761" s="117"/>
      <c r="G761" s="117"/>
      <c r="H761" s="117"/>
      <c r="I761" s="117"/>
      <c r="J761" s="117"/>
      <c r="K761" s="118"/>
      <c r="L761" s="119"/>
      <c r="M761" s="120">
        <f t="shared" si="237"/>
        <v>0</v>
      </c>
    </row>
    <row r="762" spans="2:13" s="109" customFormat="1" ht="25.5" customHeight="1" x14ac:dyDescent="0.2">
      <c r="B762" s="217" t="s">
        <v>1044</v>
      </c>
      <c r="C762" s="218"/>
      <c r="D762" s="218"/>
      <c r="E762" s="311" t="s">
        <v>1122</v>
      </c>
      <c r="F762" s="219"/>
      <c r="G762" s="220"/>
      <c r="H762" s="221"/>
      <c r="I762" s="221"/>
      <c r="J762" s="219"/>
      <c r="K762" s="219"/>
      <c r="L762" s="222">
        <f>SUBTOTAL(9,L763)</f>
        <v>11430.1</v>
      </c>
      <c r="M762" s="223">
        <f t="shared" si="237"/>
        <v>4.1393564032145324E-4</v>
      </c>
    </row>
    <row r="763" spans="2:13" s="313" customFormat="1" ht="54" x14ac:dyDescent="0.2">
      <c r="B763" s="314" t="s">
        <v>1045</v>
      </c>
      <c r="C763" s="315" t="str">
        <f>VLOOKUP(D763,Fontes!$A$6:$H$11629,8,FALSE)</f>
        <v>FACC</v>
      </c>
      <c r="D763" s="315" t="s">
        <v>1290</v>
      </c>
      <c r="E763" s="204" t="str">
        <f>VLOOKUP(D763,Fontes!$A$6:$H$11629,2,FALSE)</f>
        <v>Rodapé em placa cimentícia de microconcreto dimensões 60 x 10 x 2 cm, retificado, acabamento levigado na cor branca com aplicação de resina acrílica</v>
      </c>
      <c r="F763" s="203">
        <v>110</v>
      </c>
      <c r="G763" s="203" t="str">
        <f>VLOOKUP(D763,Fontes!$A$6:$L$11629,3,FALSE)</f>
        <v>m</v>
      </c>
      <c r="H763" s="203">
        <v>53.91</v>
      </c>
      <c r="I763" s="203">
        <v>50</v>
      </c>
      <c r="J763" s="203">
        <v>0</v>
      </c>
      <c r="K763" s="316">
        <f>ROUND(+H763+I763+J763,2)</f>
        <v>103.91</v>
      </c>
      <c r="L763" s="317">
        <f>ROUND(F763*K763,2)</f>
        <v>11430.1</v>
      </c>
      <c r="M763" s="318">
        <f t="shared" si="237"/>
        <v>4.1393564032145324E-4</v>
      </c>
    </row>
    <row r="764" spans="2:13" s="109" customFormat="1" ht="18" x14ac:dyDescent="0.2">
      <c r="B764" s="114"/>
      <c r="C764" s="115"/>
      <c r="D764" s="115"/>
      <c r="E764" s="116"/>
      <c r="F764" s="117"/>
      <c r="G764" s="117"/>
      <c r="H764" s="117"/>
      <c r="I764" s="117"/>
      <c r="J764" s="117"/>
      <c r="K764" s="118"/>
      <c r="L764" s="119"/>
      <c r="M764" s="120">
        <f t="shared" si="237"/>
        <v>0</v>
      </c>
    </row>
    <row r="765" spans="2:13" s="109" customFormat="1" ht="25.5" customHeight="1" x14ac:dyDescent="0.2">
      <c r="B765" s="217" t="s">
        <v>1046</v>
      </c>
      <c r="C765" s="218"/>
      <c r="D765" s="218"/>
      <c r="E765" s="311" t="s">
        <v>519</v>
      </c>
      <c r="F765" s="219"/>
      <c r="G765" s="220"/>
      <c r="H765" s="221"/>
      <c r="I765" s="221"/>
      <c r="J765" s="219"/>
      <c r="K765" s="219"/>
      <c r="L765" s="222">
        <f>SUBTOTAL(9,L766:L768)</f>
        <v>225448.97</v>
      </c>
      <c r="M765" s="223">
        <f t="shared" si="237"/>
        <v>8.1645273231872074E-3</v>
      </c>
    </row>
    <row r="766" spans="2:13" s="313" customFormat="1" ht="54" x14ac:dyDescent="0.2">
      <c r="B766" s="314" t="s">
        <v>1047</v>
      </c>
      <c r="C766" s="315" t="str">
        <f>VLOOKUP(D766,Fontes!$A$6:$H$11629,8,FALSE)</f>
        <v>Custo Mercado Reajustado</v>
      </c>
      <c r="D766" s="315" t="s">
        <v>1367</v>
      </c>
      <c r="E766" s="204" t="str">
        <f>VLOOKUP(D766,Fontes!$A$6:$H$11629,2,FALSE)</f>
        <v>Revestimento multilayer a base de resina epoxídica bicomponente impermeável na cor branca, espessura 3 mm</v>
      </c>
      <c r="F766" s="203">
        <v>216.4</v>
      </c>
      <c r="G766" s="203" t="str">
        <f>VLOOKUP(D766,Fontes!$A$6:$L$11629,3,FALSE)</f>
        <v>m2</v>
      </c>
      <c r="H766" s="203">
        <v>63.38355266922094</v>
      </c>
      <c r="I766" s="203">
        <v>56.989345000000007</v>
      </c>
      <c r="J766" s="203">
        <v>0</v>
      </c>
      <c r="K766" s="316">
        <f t="shared" ref="K766:K767" si="256">ROUND(+H766+I766+J766,2)</f>
        <v>120.37</v>
      </c>
      <c r="L766" s="317">
        <f t="shared" ref="L766:L767" si="257">ROUND(F766*K766,2)</f>
        <v>26048.07</v>
      </c>
      <c r="M766" s="318">
        <f t="shared" si="237"/>
        <v>9.4331847793003003E-4</v>
      </c>
    </row>
    <row r="767" spans="2:13" s="313" customFormat="1" ht="54" x14ac:dyDescent="0.2">
      <c r="B767" s="314" t="s">
        <v>1048</v>
      </c>
      <c r="C767" s="315" t="str">
        <f>VLOOKUP(D767,Fontes!$A$6:$H$11629,8,FALSE)</f>
        <v>Custo Mercado Reajustado</v>
      </c>
      <c r="D767" s="315" t="s">
        <v>1368</v>
      </c>
      <c r="E767" s="204" t="str">
        <f>VLOOKUP(D767,Fontes!$A$6:$H$11629,2,FALSE)</f>
        <v>Revestimento multilayer a base de resina epoxídica bicomponente impermeável na cor branca em escadas, espessura 3 mm</v>
      </c>
      <c r="F767" s="203">
        <v>38.4</v>
      </c>
      <c r="G767" s="203" t="str">
        <f>VLOOKUP(D767,Fontes!$A$6:$L$11629,3,FALSE)</f>
        <v>m2</v>
      </c>
      <c r="H767" s="203">
        <v>46.450483000000006</v>
      </c>
      <c r="I767" s="203">
        <v>60.194595000000007</v>
      </c>
      <c r="J767" s="203">
        <v>0</v>
      </c>
      <c r="K767" s="316">
        <f t="shared" si="256"/>
        <v>106.65</v>
      </c>
      <c r="L767" s="317">
        <f t="shared" si="257"/>
        <v>4095.36</v>
      </c>
      <c r="M767" s="318">
        <f t="shared" ref="M767:M830" si="258">+L767/$L$851</f>
        <v>1.4831151643002831E-4</v>
      </c>
    </row>
    <row r="768" spans="2:13" s="313" customFormat="1" ht="54" x14ac:dyDescent="0.2">
      <c r="B768" s="314" t="s">
        <v>2053</v>
      </c>
      <c r="C768" s="315" t="str">
        <f>VLOOKUP(D768,Fontes!$A$6:$H$11629,8,FALSE)</f>
        <v>Custo Mercado Reajustado</v>
      </c>
      <c r="D768" s="315" t="s">
        <v>1369</v>
      </c>
      <c r="E768" s="204" t="str">
        <f>VLOOKUP(D768,Fontes!$A$6:$H$11629,2,FALSE)</f>
        <v>Revestimento autonivelante a base de resina epoxídica bicomponente impermeável na cor branca, espessura 4 mm</v>
      </c>
      <c r="F768" s="203">
        <v>991.6</v>
      </c>
      <c r="G768" s="203" t="str">
        <f>VLOOKUP(D768,Fontes!$A$6:$L$11629,3,FALSE)</f>
        <v>m2</v>
      </c>
      <c r="H768" s="203">
        <v>126.43997061898681</v>
      </c>
      <c r="I768" s="203">
        <v>70.515500000000003</v>
      </c>
      <c r="J768" s="203">
        <v>0</v>
      </c>
      <c r="K768" s="316">
        <f t="shared" ref="K768" si="259">ROUND(+H768+I768+J768,2)</f>
        <v>196.96</v>
      </c>
      <c r="L768" s="317">
        <f t="shared" ref="L768" si="260">ROUND(F768*K768,2)</f>
        <v>195305.54</v>
      </c>
      <c r="M768" s="318">
        <f t="shared" si="258"/>
        <v>7.0728973288271494E-3</v>
      </c>
    </row>
    <row r="769" spans="2:13" s="109" customFormat="1" ht="18" x14ac:dyDescent="0.2">
      <c r="B769" s="114"/>
      <c r="C769" s="115"/>
      <c r="D769" s="115"/>
      <c r="E769" s="116"/>
      <c r="F769" s="117"/>
      <c r="G769" s="117"/>
      <c r="H769" s="117"/>
      <c r="I769" s="117"/>
      <c r="J769" s="117"/>
      <c r="K769" s="118"/>
      <c r="L769" s="119"/>
      <c r="M769" s="120">
        <f t="shared" si="258"/>
        <v>0</v>
      </c>
    </row>
    <row r="770" spans="2:13" s="109" customFormat="1" ht="25.5" customHeight="1" x14ac:dyDescent="0.2">
      <c r="B770" s="217" t="s">
        <v>1044</v>
      </c>
      <c r="C770" s="218"/>
      <c r="D770" s="218"/>
      <c r="E770" s="311" t="s">
        <v>1136</v>
      </c>
      <c r="F770" s="219"/>
      <c r="G770" s="220"/>
      <c r="H770" s="221"/>
      <c r="I770" s="221"/>
      <c r="J770" s="219"/>
      <c r="K770" s="219"/>
      <c r="L770" s="222">
        <f>SUBTOTAL(9,L771:L772)</f>
        <v>3385.04</v>
      </c>
      <c r="M770" s="223">
        <f t="shared" si="258"/>
        <v>1.2258761514892538E-4</v>
      </c>
    </row>
    <row r="771" spans="2:13" s="313" customFormat="1" ht="36" x14ac:dyDescent="0.2">
      <c r="B771" s="314" t="s">
        <v>1045</v>
      </c>
      <c r="C771" s="315" t="str">
        <f>VLOOKUP(D771,Fontes!$A$6:$H$11629,8,FALSE)</f>
        <v>SINAPI / RJ</v>
      </c>
      <c r="D771" s="315">
        <v>98679</v>
      </c>
      <c r="E771" s="204" t="str">
        <f>VLOOKUP(D771,Fontes!$A$6:$H$11629,2,FALSE)</f>
        <v>Piso cimentado, traço 1:3 (cimento e areia), acabamento liso, espessura 2,0 cm, preparo mecânico da argamassa</v>
      </c>
      <c r="F771" s="203">
        <v>52.32</v>
      </c>
      <c r="G771" s="203" t="str">
        <f>VLOOKUP(D771,Fontes!$A$6:$L$11629,3,FALSE)</f>
        <v>m2</v>
      </c>
      <c r="H771" s="203">
        <v>24.753575757575753</v>
      </c>
      <c r="I771" s="203">
        <v>16.155463203463199</v>
      </c>
      <c r="J771" s="203">
        <v>7.0961038961038933E-2</v>
      </c>
      <c r="K771" s="316">
        <f>ROUND(+H771+I771+J771,2)</f>
        <v>40.98</v>
      </c>
      <c r="L771" s="317">
        <f>ROUND(F771*K771,2)</f>
        <v>2144.0700000000002</v>
      </c>
      <c r="M771" s="318">
        <f t="shared" si="258"/>
        <v>7.7646476263901304E-5</v>
      </c>
    </row>
    <row r="772" spans="2:13" s="313" customFormat="1" ht="18" x14ac:dyDescent="0.2">
      <c r="B772" s="314" t="s">
        <v>2054</v>
      </c>
      <c r="C772" s="315" t="str">
        <f>VLOOKUP(D772,Fontes!$A$6:$H$11629,8,FALSE)</f>
        <v>SBC / RJ</v>
      </c>
      <c r="D772" s="315">
        <v>130348</v>
      </c>
      <c r="E772" s="204" t="str">
        <f>VLOOKUP(D772,Fontes!$A$6:$H$11629,2,FALSE)</f>
        <v>Rodapé cimentado h= 10 cm</v>
      </c>
      <c r="F772" s="203">
        <v>34.5</v>
      </c>
      <c r="G772" s="203" t="str">
        <f>VLOOKUP(D772,Fontes!$A$6:$L$11629,3,FALSE)</f>
        <v>m</v>
      </c>
      <c r="H772" s="203">
        <v>1.0600000000000023</v>
      </c>
      <c r="I772" s="203">
        <v>34.909999999999997</v>
      </c>
      <c r="J772" s="203">
        <v>0</v>
      </c>
      <c r="K772" s="316">
        <f>ROUND(+H772+I772+J772,2)</f>
        <v>35.97</v>
      </c>
      <c r="L772" s="317">
        <f>ROUND(F772*K772,2)</f>
        <v>1240.97</v>
      </c>
      <c r="M772" s="318">
        <f t="shared" si="258"/>
        <v>4.4941138885024089E-5</v>
      </c>
    </row>
    <row r="773" spans="2:13" s="109" customFormat="1" ht="18" x14ac:dyDescent="0.2">
      <c r="B773" s="114"/>
      <c r="C773" s="115"/>
      <c r="D773" s="115"/>
      <c r="E773" s="116"/>
      <c r="F773" s="117"/>
      <c r="G773" s="117"/>
      <c r="H773" s="117"/>
      <c r="I773" s="117"/>
      <c r="J773" s="117"/>
      <c r="K773" s="118"/>
      <c r="L773" s="119"/>
      <c r="M773" s="120">
        <f t="shared" si="258"/>
        <v>0</v>
      </c>
    </row>
    <row r="774" spans="2:13" s="109" customFormat="1" ht="25.5" customHeight="1" x14ac:dyDescent="0.2">
      <c r="B774" s="217" t="s">
        <v>1046</v>
      </c>
      <c r="C774" s="218"/>
      <c r="D774" s="218"/>
      <c r="E774" s="311" t="s">
        <v>1432</v>
      </c>
      <c r="F774" s="219"/>
      <c r="G774" s="220"/>
      <c r="H774" s="221"/>
      <c r="I774" s="221"/>
      <c r="J774" s="219"/>
      <c r="K774" s="219"/>
      <c r="L774" s="222">
        <f>SUBTOTAL(9,L775:L776)</f>
        <v>31660.86</v>
      </c>
      <c r="M774" s="223">
        <f t="shared" si="258"/>
        <v>1.1465830007810855E-3</v>
      </c>
    </row>
    <row r="775" spans="2:13" s="313" customFormat="1" ht="54" x14ac:dyDescent="0.2">
      <c r="B775" s="314" t="s">
        <v>1047</v>
      </c>
      <c r="C775" s="315" t="str">
        <f>VLOOKUP(D775,Fontes!$A$6:$H$11629,8,FALSE)</f>
        <v>Custo Mercado Reajustado</v>
      </c>
      <c r="D775" s="315" t="s">
        <v>1363</v>
      </c>
      <c r="E775" s="204" t="str">
        <f>VLOOKUP(D775,Fontes!$A$6:$H$11629,2,FALSE)</f>
        <v>Grade eletrofundida em placas 1386 x 3000x 25 mm modelo E-42A da Metalgrade ou equivalente</v>
      </c>
      <c r="F775" s="203">
        <v>16.7</v>
      </c>
      <c r="G775" s="203" t="str">
        <f>VLOOKUP(D775,Fontes!$A$6:$L$11629,3,FALSE)</f>
        <v>m2</v>
      </c>
      <c r="H775" s="203">
        <v>1895.8605014999998</v>
      </c>
      <c r="I775" s="203">
        <v>0</v>
      </c>
      <c r="J775" s="203">
        <v>0</v>
      </c>
      <c r="K775" s="316">
        <f>ROUND(+H775+I775+J775,2)</f>
        <v>1895.86</v>
      </c>
      <c r="L775" s="317">
        <f>ROUND(F775*K775,2)</f>
        <v>31660.86</v>
      </c>
      <c r="M775" s="318">
        <f t="shared" si="258"/>
        <v>1.1465830007810855E-3</v>
      </c>
    </row>
    <row r="776" spans="2:13" s="109" customFormat="1" ht="18" x14ac:dyDescent="0.2">
      <c r="B776" s="114"/>
      <c r="C776" s="115"/>
      <c r="D776" s="115"/>
      <c r="E776" s="116"/>
      <c r="F776" s="117"/>
      <c r="G776" s="117"/>
      <c r="H776" s="117"/>
      <c r="I776" s="117"/>
      <c r="J776" s="117"/>
      <c r="K776" s="118"/>
      <c r="L776" s="119"/>
      <c r="M776" s="120">
        <f t="shared" si="258"/>
        <v>0</v>
      </c>
    </row>
    <row r="777" spans="2:13" s="109" customFormat="1" ht="18" x14ac:dyDescent="0.2">
      <c r="B777" s="114"/>
      <c r="C777" s="115"/>
      <c r="D777" s="115"/>
      <c r="E777" s="116"/>
      <c r="F777" s="117"/>
      <c r="G777" s="117"/>
      <c r="H777" s="117"/>
      <c r="I777" s="117"/>
      <c r="J777" s="117"/>
      <c r="K777" s="118"/>
      <c r="L777" s="119"/>
      <c r="M777" s="120">
        <f t="shared" si="258"/>
        <v>0</v>
      </c>
    </row>
    <row r="778" spans="2:13" s="109" customFormat="1" ht="25.5" customHeight="1" x14ac:dyDescent="0.2">
      <c r="B778" s="206">
        <v>18</v>
      </c>
      <c r="C778" s="207"/>
      <c r="D778" s="207"/>
      <c r="E778" s="309" t="s">
        <v>1118</v>
      </c>
      <c r="F778" s="209"/>
      <c r="G778" s="205"/>
      <c r="H778" s="210"/>
      <c r="I778" s="210"/>
      <c r="J778" s="209"/>
      <c r="K778" s="209"/>
      <c r="L778" s="211">
        <f>SUBTOTAL(9,L779:L795)</f>
        <v>554385.23999999987</v>
      </c>
      <c r="M778" s="212">
        <f t="shared" si="258"/>
        <v>2.0076798042376047E-2</v>
      </c>
    </row>
    <row r="779" spans="2:13" s="109" customFormat="1" ht="25.5" customHeight="1" x14ac:dyDescent="0.2">
      <c r="B779" s="217" t="s">
        <v>1117</v>
      </c>
      <c r="C779" s="218"/>
      <c r="D779" s="218"/>
      <c r="E779" s="311" t="s">
        <v>510</v>
      </c>
      <c r="F779" s="219"/>
      <c r="G779" s="220"/>
      <c r="H779" s="221"/>
      <c r="I779" s="221"/>
      <c r="J779" s="219"/>
      <c r="K779" s="219"/>
      <c r="L779" s="222">
        <f>SUBTOTAL(9,L780:L781)</f>
        <v>83741.61</v>
      </c>
      <c r="M779" s="223">
        <f t="shared" si="258"/>
        <v>3.0326626151039281E-3</v>
      </c>
    </row>
    <row r="780" spans="2:13" s="313" customFormat="1" ht="36" x14ac:dyDescent="0.2">
      <c r="B780" s="314" t="s">
        <v>1049</v>
      </c>
      <c r="C780" s="315" t="str">
        <f>VLOOKUP(D780,Fontes!$A$6:$H$11629,8,FALSE)</f>
        <v>SINAPI / RJ</v>
      </c>
      <c r="D780" s="315">
        <v>96622</v>
      </c>
      <c r="E780" s="204" t="str">
        <f>VLOOKUP(D780,Fontes!$A$6:$H$11629,2,FALSE)</f>
        <v>Lastro com material granular (pedra britada n.2), aplicado em pisos ou lajes sobre solo, espessura de 5 cm</v>
      </c>
      <c r="F780" s="203">
        <f>F781*0.05</f>
        <v>38.475000000000001</v>
      </c>
      <c r="G780" s="203" t="str">
        <f>VLOOKUP(D780,Fontes!$A$6:$L$11629,3,FALSE)</f>
        <v>m3</v>
      </c>
      <c r="H780" s="203">
        <v>208.6946113989637</v>
      </c>
      <c r="I780" s="203">
        <v>72.761036269430036</v>
      </c>
      <c r="J780" s="203">
        <v>6.4352331606217603E-2</v>
      </c>
      <c r="K780" s="316">
        <f t="shared" ref="K780:K781" si="261">ROUND(+H780+I780+J780,2)</f>
        <v>281.52</v>
      </c>
      <c r="L780" s="317">
        <f t="shared" ref="L780:L781" si="262">ROUND(F780*K780,2)</f>
        <v>10831.48</v>
      </c>
      <c r="M780" s="318">
        <f t="shared" si="258"/>
        <v>3.9225690146446786E-4</v>
      </c>
    </row>
    <row r="781" spans="2:13" s="313" customFormat="1" ht="54" x14ac:dyDescent="0.2">
      <c r="B781" s="314" t="s">
        <v>1050</v>
      </c>
      <c r="C781" s="315" t="str">
        <f>VLOOKUP(D781,Fontes!$A$6:$H$11629,8,FALSE)</f>
        <v>SINAPI / RJ</v>
      </c>
      <c r="D781" s="315">
        <v>94995</v>
      </c>
      <c r="E781" s="204" t="str">
        <f>VLOOKUP(D781,Fontes!$A$6:$H$11629,2,FALSE)</f>
        <v>Execução de passeio (calçada) ou piso de concreto com concreto moldado in loco, usinado, acabamento convencional, espessura 8 cm, armado</v>
      </c>
      <c r="F781" s="203">
        <f>104.4+F784</f>
        <v>769.5</v>
      </c>
      <c r="G781" s="203" t="str">
        <f>VLOOKUP(D781,Fontes!$A$6:$L$11629,3,FALSE)</f>
        <v>m2</v>
      </c>
      <c r="H781" s="203">
        <v>82.820591830498117</v>
      </c>
      <c r="I781" s="203">
        <v>11.929408169501883</v>
      </c>
      <c r="J781" s="203">
        <v>0</v>
      </c>
      <c r="K781" s="316">
        <f t="shared" si="261"/>
        <v>94.75</v>
      </c>
      <c r="L781" s="317">
        <f t="shared" si="262"/>
        <v>72910.13</v>
      </c>
      <c r="M781" s="318">
        <f t="shared" si="258"/>
        <v>2.6404057136394606E-3</v>
      </c>
    </row>
    <row r="782" spans="2:13" s="109" customFormat="1" ht="18" x14ac:dyDescent="0.2">
      <c r="B782" s="114"/>
      <c r="C782" s="115"/>
      <c r="D782" s="115"/>
      <c r="E782" s="116"/>
      <c r="F782" s="117"/>
      <c r="G782" s="117"/>
      <c r="H782" s="117"/>
      <c r="I782" s="117"/>
      <c r="J782" s="117"/>
      <c r="K782" s="118"/>
      <c r="L782" s="119"/>
      <c r="M782" s="120">
        <f t="shared" si="258"/>
        <v>0</v>
      </c>
    </row>
    <row r="783" spans="2:13" s="109" customFormat="1" ht="25.5" customHeight="1" x14ac:dyDescent="0.2">
      <c r="B783" s="217" t="s">
        <v>1050</v>
      </c>
      <c r="C783" s="218"/>
      <c r="D783" s="218"/>
      <c r="E783" s="311" t="s">
        <v>1122</v>
      </c>
      <c r="F783" s="219"/>
      <c r="G783" s="220"/>
      <c r="H783" s="221"/>
      <c r="I783" s="221"/>
      <c r="J783" s="219"/>
      <c r="K783" s="219"/>
      <c r="L783" s="222">
        <f>SUBTOTAL(9,L784:L785)</f>
        <v>301493.73</v>
      </c>
      <c r="M783" s="223">
        <f t="shared" si="258"/>
        <v>1.0918452172811552E-2</v>
      </c>
    </row>
    <row r="784" spans="2:13" s="313" customFormat="1" ht="54" x14ac:dyDescent="0.2">
      <c r="B784" s="314" t="s">
        <v>2055</v>
      </c>
      <c r="C784" s="315" t="str">
        <f>VLOOKUP(D784,Fontes!$A$6:$H$11629,8,FALSE)</f>
        <v>FACC</v>
      </c>
      <c r="D784" s="315" t="s">
        <v>1289</v>
      </c>
      <c r="E784" s="204" t="str">
        <f>VLOOKUP(D784,Fontes!$A$6:$H$11629,2,FALSE)</f>
        <v>Piso em placa cimentícia de microconcreto dimensões 60 x 60 x 3 cm, retificada, acabamento levigado na cor branca com aplicação de resina acrílica</v>
      </c>
      <c r="F784" s="203">
        <v>665.1</v>
      </c>
      <c r="G784" s="203" t="str">
        <f>VLOOKUP(D784,Fontes!$A$6:$L$11629,3,FALSE)</f>
        <v>m2</v>
      </c>
      <c r="H784" s="203">
        <v>316.3</v>
      </c>
      <c r="I784" s="203">
        <v>128.21</v>
      </c>
      <c r="J784" s="203">
        <v>0</v>
      </c>
      <c r="K784" s="316">
        <f t="shared" ref="K784:K785" si="263">ROUND(+H784+I784+J784,2)</f>
        <v>444.51</v>
      </c>
      <c r="L784" s="317">
        <f t="shared" ref="L784:L785" si="264">ROUND(F784*K784,2)</f>
        <v>295643.59999999998</v>
      </c>
      <c r="M784" s="318">
        <f t="shared" si="258"/>
        <v>1.0706592494636055E-2</v>
      </c>
    </row>
    <row r="785" spans="2:13" s="313" customFormat="1" ht="54" x14ac:dyDescent="0.2">
      <c r="B785" s="314" t="s">
        <v>2057</v>
      </c>
      <c r="C785" s="315" t="str">
        <f>VLOOKUP(D785,Fontes!$A$6:$H$11629,8,FALSE)</f>
        <v>FACC</v>
      </c>
      <c r="D785" s="315" t="s">
        <v>1290</v>
      </c>
      <c r="E785" s="204" t="str">
        <f>VLOOKUP(D785,Fontes!$A$6:$H$11629,2,FALSE)</f>
        <v>Rodapé em placa cimentícia de microconcreto dimensões 60 x 10 x 2 cm, retificado, acabamento levigado na cor branca com aplicação de resina acrílica</v>
      </c>
      <c r="F785" s="203">
        <v>56.3</v>
      </c>
      <c r="G785" s="203" t="str">
        <f>VLOOKUP(D785,Fontes!$A$6:$L$11629,3,FALSE)</f>
        <v>m</v>
      </c>
      <c r="H785" s="203">
        <v>53.91</v>
      </c>
      <c r="I785" s="203">
        <v>50</v>
      </c>
      <c r="J785" s="203">
        <v>0</v>
      </c>
      <c r="K785" s="316">
        <f t="shared" si="263"/>
        <v>103.91</v>
      </c>
      <c r="L785" s="317">
        <f t="shared" si="264"/>
        <v>5850.13</v>
      </c>
      <c r="M785" s="318">
        <f t="shared" si="258"/>
        <v>2.1185967817549656E-4</v>
      </c>
    </row>
    <row r="786" spans="2:13" s="109" customFormat="1" ht="18" x14ac:dyDescent="0.2">
      <c r="B786" s="114"/>
      <c r="C786" s="115"/>
      <c r="D786" s="115"/>
      <c r="E786" s="116"/>
      <c r="F786" s="117"/>
      <c r="G786" s="117"/>
      <c r="H786" s="117"/>
      <c r="I786" s="117"/>
      <c r="J786" s="117"/>
      <c r="K786" s="118"/>
      <c r="L786" s="119"/>
      <c r="M786" s="120">
        <f t="shared" si="258"/>
        <v>0</v>
      </c>
    </row>
    <row r="787" spans="2:13" s="109" customFormat="1" ht="25.5" customHeight="1" x14ac:dyDescent="0.2">
      <c r="B787" s="217" t="s">
        <v>1051</v>
      </c>
      <c r="C787" s="218"/>
      <c r="D787" s="218"/>
      <c r="E787" s="311" t="s">
        <v>524</v>
      </c>
      <c r="F787" s="219"/>
      <c r="G787" s="220"/>
      <c r="H787" s="221"/>
      <c r="I787" s="221"/>
      <c r="J787" s="219"/>
      <c r="K787" s="219"/>
      <c r="L787" s="222">
        <f>SUBTOTAL(9,L788:L795)</f>
        <v>169149.9</v>
      </c>
      <c r="M787" s="223">
        <f t="shared" si="258"/>
        <v>6.1256832544605714E-3</v>
      </c>
    </row>
    <row r="788" spans="2:13" s="313" customFormat="1" ht="72" x14ac:dyDescent="0.2">
      <c r="B788" s="314" t="s">
        <v>2056</v>
      </c>
      <c r="C788" s="315" t="str">
        <f>VLOOKUP(D788,Fontes!$A$6:$H$11629,8,FALSE)</f>
        <v>SINAPI / RJ</v>
      </c>
      <c r="D788" s="315">
        <v>101134</v>
      </c>
      <c r="E788" s="204" t="str">
        <f>VLOOKUP(D788,Fontes!$A$6:$H$11629,2,FALSE)</f>
        <v>Escavação horizontal, incluindo carga, descarga e transporte em solo de 1a categoria com trator de esteiras (100hp/lâmina: 2,19m3) e caminhão basculante de 10m3, dmt até 200m. af_07/2020</v>
      </c>
      <c r="F788" s="203">
        <f>F790*0.15</f>
        <v>106.425</v>
      </c>
      <c r="G788" s="203" t="str">
        <f>VLOOKUP(D788,Fontes!$A$6:$L$11629,3,FALSE)</f>
        <v>m3</v>
      </c>
      <c r="H788" s="203">
        <v>6.2069525267993875</v>
      </c>
      <c r="I788" s="203">
        <v>4.2128637059724348</v>
      </c>
      <c r="J788" s="203">
        <v>7.9201837672281776</v>
      </c>
      <c r="K788" s="316">
        <f t="shared" ref="K788:K795" si="265">ROUND(+H788+I788+J788,2)</f>
        <v>18.34</v>
      </c>
      <c r="L788" s="317">
        <f t="shared" ref="L788:L795" si="266">ROUND(F788*K788,2)</f>
        <v>1951.83</v>
      </c>
      <c r="M788" s="318">
        <f t="shared" si="258"/>
        <v>7.0684596009538153E-5</v>
      </c>
    </row>
    <row r="789" spans="2:13" s="313" customFormat="1" ht="36" x14ac:dyDescent="0.2">
      <c r="B789" s="314" t="s">
        <v>2058</v>
      </c>
      <c r="C789" s="315" t="str">
        <f>VLOOKUP(D789,Fontes!$A$6:$H$11629,8,FALSE)</f>
        <v>SINAPI / RJ</v>
      </c>
      <c r="D789" s="315">
        <v>97918</v>
      </c>
      <c r="E789" s="204" t="str">
        <f>VLOOKUP(D789,Fontes!$A$6:$H$11629,2,FALSE)</f>
        <v>Transporte com caminhão basculante de 6 m³, em via urbana pavimentada, dmt até 30 km</v>
      </c>
      <c r="F789" s="203">
        <f>F788*30</f>
        <v>3192.75</v>
      </c>
      <c r="G789" s="203" t="str">
        <f>VLOOKUP(D789,Fontes!$A$6:$L$11629,3,FALSE)</f>
        <v>txkm</v>
      </c>
      <c r="H789" s="203">
        <v>1.2035882352941174</v>
      </c>
      <c r="I789" s="203">
        <v>0.44182352941176462</v>
      </c>
      <c r="J789" s="203">
        <v>0.94458823529411751</v>
      </c>
      <c r="K789" s="316">
        <f t="shared" si="265"/>
        <v>2.59</v>
      </c>
      <c r="L789" s="317">
        <f t="shared" si="266"/>
        <v>8269.2199999999993</v>
      </c>
      <c r="M789" s="318">
        <f t="shared" si="258"/>
        <v>2.9946587305963788E-4</v>
      </c>
    </row>
    <row r="790" spans="2:13" s="313" customFormat="1" ht="36" x14ac:dyDescent="0.2">
      <c r="B790" s="314" t="s">
        <v>2059</v>
      </c>
      <c r="C790" s="315" t="str">
        <f>VLOOKUP(D790,Fontes!$A$6:$H$11629,8,FALSE)</f>
        <v>SINAPI / RJ</v>
      </c>
      <c r="D790" s="315">
        <v>92406</v>
      </c>
      <c r="E790" s="204" t="str">
        <f>VLOOKUP(D790,Fontes!$A$6:$H$11629,2,FALSE)</f>
        <v>Execução de via em piso intertravado, com bloco retangular de 20 x 10 cm, espessura 10 cm</v>
      </c>
      <c r="F790" s="203">
        <v>709.5</v>
      </c>
      <c r="G790" s="203" t="str">
        <f>VLOOKUP(D790,Fontes!$A$6:$L$11629,3,FALSE)</f>
        <v>m2</v>
      </c>
      <c r="H790" s="203">
        <v>141.98996609451152</v>
      </c>
      <c r="I790" s="203">
        <v>24.303793176520443</v>
      </c>
      <c r="J790" s="203">
        <v>0.40624072896800162</v>
      </c>
      <c r="K790" s="316">
        <f t="shared" si="265"/>
        <v>166.7</v>
      </c>
      <c r="L790" s="317">
        <f t="shared" si="266"/>
        <v>118273.65</v>
      </c>
      <c r="M790" s="318">
        <f t="shared" si="258"/>
        <v>4.2832240353020048E-3</v>
      </c>
    </row>
    <row r="791" spans="2:13" s="313" customFormat="1" ht="54" x14ac:dyDescent="0.2">
      <c r="B791" s="314" t="s">
        <v>2060</v>
      </c>
      <c r="C791" s="315" t="str">
        <f>VLOOKUP(D791,Fontes!$A$6:$H$11629,8,FALSE)</f>
        <v>SINAPI / RJ</v>
      </c>
      <c r="D791" s="315">
        <v>94275</v>
      </c>
      <c r="E791" s="204" t="str">
        <f>VLOOKUP(D791,Fontes!$A$6:$H$11629,2,FALSE)</f>
        <v>Assentamento de guia (meio-fio) em trecho reto, confeccionada em concreto pré-fabricado, dimensões 100x15x13x20 cm</v>
      </c>
      <c r="F791" s="203">
        <v>206</v>
      </c>
      <c r="G791" s="203" t="str">
        <f>VLOOKUP(D791,Fontes!$A$6:$L$11629,3,FALSE)</f>
        <v>m</v>
      </c>
      <c r="H791" s="203">
        <v>40.919888757795384</v>
      </c>
      <c r="I791" s="203">
        <v>12.780111242204617</v>
      </c>
      <c r="J791" s="203">
        <v>0</v>
      </c>
      <c r="K791" s="316">
        <f t="shared" si="265"/>
        <v>53.7</v>
      </c>
      <c r="L791" s="317">
        <f t="shared" si="266"/>
        <v>11062.2</v>
      </c>
      <c r="M791" s="318">
        <f t="shared" si="258"/>
        <v>4.0061231663449841E-4</v>
      </c>
    </row>
    <row r="792" spans="2:13" s="313" customFormat="1" ht="54" x14ac:dyDescent="0.2">
      <c r="B792" s="314" t="s">
        <v>2061</v>
      </c>
      <c r="C792" s="315" t="str">
        <f>VLOOKUP(D792,Fontes!$A$6:$H$11629,8,FALSE)</f>
        <v>SINAPI / RJ</v>
      </c>
      <c r="D792" s="315">
        <v>94276</v>
      </c>
      <c r="E792" s="204" t="str">
        <f>VLOOKUP(D792,Fontes!$A$6:$H$11629,2,FALSE)</f>
        <v>Assentamento de guia (meio-fio) em trecho curvo, confeccionada em concreto pré-fabricado, dimensões 100x15x13x20</v>
      </c>
      <c r="F792" s="203">
        <v>14</v>
      </c>
      <c r="G792" s="203" t="str">
        <f>VLOOKUP(D792,Fontes!$A$6:$L$11629,3,FALSE)</f>
        <v>m</v>
      </c>
      <c r="H792" s="203">
        <v>41.966243567753011</v>
      </c>
      <c r="I792" s="203">
        <v>15.873756432247003</v>
      </c>
      <c r="J792" s="203">
        <v>0</v>
      </c>
      <c r="K792" s="316">
        <f t="shared" si="265"/>
        <v>57.84</v>
      </c>
      <c r="L792" s="317">
        <f t="shared" si="266"/>
        <v>809.76</v>
      </c>
      <c r="M792" s="318">
        <f t="shared" si="258"/>
        <v>2.9325073630738135E-5</v>
      </c>
    </row>
    <row r="793" spans="2:13" s="313" customFormat="1" ht="36" x14ac:dyDescent="0.2">
      <c r="B793" s="314" t="s">
        <v>2062</v>
      </c>
      <c r="C793" s="315" t="str">
        <f>VLOOKUP(D793,Fontes!$A$6:$H$11629,8,FALSE)</f>
        <v>SINAPI / RJ</v>
      </c>
      <c r="D793" s="315">
        <v>94281</v>
      </c>
      <c r="E793" s="204" t="str">
        <f>VLOOKUP(D793,Fontes!$A$6:$H$11629,2,FALSE)</f>
        <v>Execução de sarjeta de concreto usinado, moldada  in loco  em trecho reto, 30 cm base x 15 cm altura</v>
      </c>
      <c r="F793" s="203">
        <f>F791</f>
        <v>206</v>
      </c>
      <c r="G793" s="203" t="str">
        <f>VLOOKUP(D793,Fontes!$A$6:$L$11629,3,FALSE)</f>
        <v>m</v>
      </c>
      <c r="H793" s="203">
        <v>32.205251363990641</v>
      </c>
      <c r="I793" s="203">
        <v>19.524748636009353</v>
      </c>
      <c r="J793" s="203">
        <v>0</v>
      </c>
      <c r="K793" s="316">
        <f t="shared" si="265"/>
        <v>51.73</v>
      </c>
      <c r="L793" s="317">
        <f t="shared" si="266"/>
        <v>10656.38</v>
      </c>
      <c r="M793" s="318">
        <f t="shared" si="258"/>
        <v>3.8591573816578394E-4</v>
      </c>
    </row>
    <row r="794" spans="2:13" s="313" customFormat="1" ht="36" x14ac:dyDescent="0.2">
      <c r="B794" s="314" t="s">
        <v>2063</v>
      </c>
      <c r="C794" s="315" t="str">
        <f>VLOOKUP(D794,Fontes!$A$6:$H$11629,8,FALSE)</f>
        <v>SINAPI / RJ</v>
      </c>
      <c r="D794" s="315">
        <v>94282</v>
      </c>
      <c r="E794" s="204" t="str">
        <f>VLOOKUP(D794,Fontes!$A$6:$H$11629,2,FALSE)</f>
        <v>Execução de sarjeta de concreto usinado, moldada  in loco  em trecho curvo, 30 cm base x 15 cm altura</v>
      </c>
      <c r="F794" s="203">
        <f>F792</f>
        <v>14</v>
      </c>
      <c r="G794" s="203" t="str">
        <f>VLOOKUP(D794,Fontes!$A$6:$L$11629,3,FALSE)</f>
        <v>m</v>
      </c>
      <c r="H794" s="203">
        <v>34.240667172100082</v>
      </c>
      <c r="I794" s="203">
        <v>28.399332827899929</v>
      </c>
      <c r="J794" s="203">
        <v>0</v>
      </c>
      <c r="K794" s="316">
        <f t="shared" si="265"/>
        <v>62.64</v>
      </c>
      <c r="L794" s="317">
        <f t="shared" si="266"/>
        <v>876.96</v>
      </c>
      <c r="M794" s="318">
        <f t="shared" si="258"/>
        <v>3.1758689699679058E-5</v>
      </c>
    </row>
    <row r="795" spans="2:13" s="313" customFormat="1" ht="90" x14ac:dyDescent="0.2">
      <c r="B795" s="314" t="s">
        <v>2064</v>
      </c>
      <c r="C795" s="315" t="str">
        <f>VLOOKUP(D795,Fontes!$A$6:$H$11629,8,FALSE)</f>
        <v>SINAPI / RJ</v>
      </c>
      <c r="D795" s="315">
        <v>94279</v>
      </c>
      <c r="E795" s="204" t="str">
        <f>VLOOKUP(D795,Fontes!$A$6:$H$11629,2,FALSE)</f>
        <v>Assentamento de guia (meio-fio) em trecho reto, confeccionada em concreto pré-fabricado, dimensões 39x6,5x6,5x19 cm (comprimento x base inferior x base superior x altura), para delimitação de jardins, praças ou passeios</v>
      </c>
      <c r="F795" s="203">
        <v>305.2</v>
      </c>
      <c r="G795" s="203" t="str">
        <f>VLOOKUP(D795,Fontes!$A$6:$L$11629,3,FALSE)</f>
        <v>m</v>
      </c>
      <c r="H795" s="203">
        <v>44.624707740916271</v>
      </c>
      <c r="I795" s="203">
        <v>11.89529225908373</v>
      </c>
      <c r="J795" s="203">
        <v>0</v>
      </c>
      <c r="K795" s="316">
        <f t="shared" si="265"/>
        <v>56.52</v>
      </c>
      <c r="L795" s="317">
        <f t="shared" si="266"/>
        <v>17249.900000000001</v>
      </c>
      <c r="M795" s="318">
        <f t="shared" si="258"/>
        <v>6.2469693195869121E-4</v>
      </c>
    </row>
    <row r="796" spans="2:13" s="109" customFormat="1" ht="18" x14ac:dyDescent="0.2">
      <c r="B796" s="114"/>
      <c r="C796" s="115"/>
      <c r="D796" s="115"/>
      <c r="E796" s="116"/>
      <c r="F796" s="117"/>
      <c r="G796" s="117"/>
      <c r="H796" s="117"/>
      <c r="I796" s="117"/>
      <c r="J796" s="117"/>
      <c r="K796" s="118"/>
      <c r="L796" s="119"/>
      <c r="M796" s="120">
        <f t="shared" si="258"/>
        <v>0</v>
      </c>
    </row>
    <row r="797" spans="2:13" s="109" customFormat="1" ht="18" x14ac:dyDescent="0.2">
      <c r="B797" s="114"/>
      <c r="C797" s="115"/>
      <c r="D797" s="115"/>
      <c r="E797" s="116"/>
      <c r="F797" s="117"/>
      <c r="G797" s="117"/>
      <c r="H797" s="117"/>
      <c r="I797" s="117"/>
      <c r="J797" s="117"/>
      <c r="K797" s="118"/>
      <c r="L797" s="119"/>
      <c r="M797" s="120">
        <f t="shared" si="258"/>
        <v>0</v>
      </c>
    </row>
    <row r="798" spans="2:13" s="109" customFormat="1" ht="25.5" customHeight="1" x14ac:dyDescent="0.2">
      <c r="B798" s="206">
        <v>19</v>
      </c>
      <c r="C798" s="207"/>
      <c r="D798" s="207"/>
      <c r="E798" s="309" t="s">
        <v>520</v>
      </c>
      <c r="F798" s="209"/>
      <c r="G798" s="205"/>
      <c r="H798" s="210"/>
      <c r="I798" s="210"/>
      <c r="J798" s="209"/>
      <c r="K798" s="209"/>
      <c r="L798" s="211">
        <f>SUBTOTAL(9,L799:L810)</f>
        <v>344824.54</v>
      </c>
      <c r="M798" s="212">
        <f t="shared" si="258"/>
        <v>1.2487656867695868E-2</v>
      </c>
    </row>
    <row r="799" spans="2:13" s="109" customFormat="1" ht="25.5" customHeight="1" x14ac:dyDescent="0.2">
      <c r="B799" s="217" t="s">
        <v>1052</v>
      </c>
      <c r="C799" s="218"/>
      <c r="D799" s="218"/>
      <c r="E799" s="311" t="s">
        <v>521</v>
      </c>
      <c r="F799" s="219"/>
      <c r="G799" s="220"/>
      <c r="H799" s="221"/>
      <c r="I799" s="221"/>
      <c r="J799" s="219"/>
      <c r="K799" s="219"/>
      <c r="L799" s="222">
        <f>SUBTOTAL(9,L800:L802)</f>
        <v>168182.57</v>
      </c>
      <c r="M799" s="223">
        <f t="shared" si="258"/>
        <v>6.090651858151515E-3</v>
      </c>
    </row>
    <row r="800" spans="2:13" s="313" customFormat="1" ht="36" x14ac:dyDescent="0.2">
      <c r="B800" s="314" t="s">
        <v>1053</v>
      </c>
      <c r="C800" s="315" t="str">
        <f>VLOOKUP(D800,Fontes!$A$6:$H$11629,8,FALSE)</f>
        <v>SINAPI / RJ</v>
      </c>
      <c r="D800" s="315">
        <v>88497</v>
      </c>
      <c r="E800" s="204" t="str">
        <f>VLOOKUP(D800,Fontes!$A$6:$H$11629,2,FALSE)</f>
        <v>Aplicação e lixamento de massa látex em paredes, duas demãos</v>
      </c>
      <c r="F800" s="203">
        <v>3663.31</v>
      </c>
      <c r="G800" s="203" t="str">
        <f>VLOOKUP(D800,Fontes!$A$6:$L$11629,3,FALSE)</f>
        <v>m2</v>
      </c>
      <c r="H800" s="203">
        <v>12.765236051502148</v>
      </c>
      <c r="I800" s="203">
        <v>11.514763948497855</v>
      </c>
      <c r="J800" s="203">
        <v>0</v>
      </c>
      <c r="K800" s="316">
        <f t="shared" ref="K800:K802" si="267">ROUND(+H800+I800+J800,2)</f>
        <v>24.28</v>
      </c>
      <c r="L800" s="317">
        <f t="shared" ref="L800:L802" si="268">ROUND(F800*K800,2)</f>
        <v>88945.17</v>
      </c>
      <c r="M800" s="318">
        <f t="shared" si="258"/>
        <v>3.2211070679565804E-3</v>
      </c>
    </row>
    <row r="801" spans="2:13" s="313" customFormat="1" ht="18" x14ac:dyDescent="0.2">
      <c r="B801" s="314" t="s">
        <v>1058</v>
      </c>
      <c r="C801" s="315" t="str">
        <f>VLOOKUP(D801,Fontes!$A$6:$H$11629,8,FALSE)</f>
        <v>SINAPI / RJ</v>
      </c>
      <c r="D801" s="315">
        <v>88485</v>
      </c>
      <c r="E801" s="204" t="str">
        <f>VLOOKUP(D801,Fontes!$A$6:$H$11629,2,FALSE)</f>
        <v>Aplicação de fundo selador acrílico em paredes, uma demão</v>
      </c>
      <c r="F801" s="203">
        <f>F800</f>
        <v>3663.31</v>
      </c>
      <c r="G801" s="203" t="str">
        <f>VLOOKUP(D801,Fontes!$A$6:$L$11629,3,FALSE)</f>
        <v>m2</v>
      </c>
      <c r="H801" s="203">
        <v>3.6721153846153842</v>
      </c>
      <c r="I801" s="203">
        <v>2.0278846153846155</v>
      </c>
      <c r="J801" s="203">
        <v>0</v>
      </c>
      <c r="K801" s="316">
        <f t="shared" si="267"/>
        <v>5.7</v>
      </c>
      <c r="L801" s="317">
        <f t="shared" si="268"/>
        <v>20880.87</v>
      </c>
      <c r="M801" s="318">
        <f t="shared" si="258"/>
        <v>7.5619078520039386E-4</v>
      </c>
    </row>
    <row r="802" spans="2:13" s="313" customFormat="1" ht="36" x14ac:dyDescent="0.2">
      <c r="B802" s="314" t="s">
        <v>2065</v>
      </c>
      <c r="C802" s="315" t="str">
        <f>VLOOKUP(D802,Fontes!$A$6:$H$11629,8,FALSE)</f>
        <v>SINAPI / RJ</v>
      </c>
      <c r="D802" s="315">
        <v>88489</v>
      </c>
      <c r="E802" s="204" t="str">
        <f>VLOOKUP(D802,Fontes!$A$6:$H$11629,2,FALSE)</f>
        <v>Aplicação manual de pintura com tinta látex acrílica em paredes, duas demãos</v>
      </c>
      <c r="F802" s="203">
        <f>F801</f>
        <v>3663.31</v>
      </c>
      <c r="G802" s="203" t="str">
        <f>VLOOKUP(D802,Fontes!$A$6:$L$11629,3,FALSE)</f>
        <v>m2</v>
      </c>
      <c r="H802" s="203">
        <v>10.338675496688742</v>
      </c>
      <c r="I802" s="203">
        <v>5.5913245033112577</v>
      </c>
      <c r="J802" s="203">
        <v>0</v>
      </c>
      <c r="K802" s="316">
        <f t="shared" si="267"/>
        <v>15.93</v>
      </c>
      <c r="L802" s="317">
        <f t="shared" si="268"/>
        <v>58356.53</v>
      </c>
      <c r="M802" s="318">
        <f t="shared" si="258"/>
        <v>2.1133540049945404E-3</v>
      </c>
    </row>
    <row r="803" spans="2:13" s="109" customFormat="1" ht="18" x14ac:dyDescent="0.2">
      <c r="B803" s="114"/>
      <c r="C803" s="115"/>
      <c r="D803" s="115"/>
      <c r="E803" s="116"/>
      <c r="F803" s="117"/>
      <c r="G803" s="117"/>
      <c r="H803" s="117"/>
      <c r="I803" s="117"/>
      <c r="J803" s="117"/>
      <c r="K803" s="118"/>
      <c r="L803" s="119"/>
      <c r="M803" s="120">
        <f t="shared" si="258"/>
        <v>0</v>
      </c>
    </row>
    <row r="804" spans="2:13" s="109" customFormat="1" ht="25.5" customHeight="1" x14ac:dyDescent="0.2">
      <c r="B804" s="217" t="s">
        <v>1054</v>
      </c>
      <c r="C804" s="218"/>
      <c r="D804" s="218"/>
      <c r="E804" s="311" t="s">
        <v>522</v>
      </c>
      <c r="F804" s="219"/>
      <c r="G804" s="220"/>
      <c r="H804" s="221"/>
      <c r="I804" s="221"/>
      <c r="J804" s="219"/>
      <c r="K804" s="219"/>
      <c r="L804" s="222">
        <f>SUBTOTAL(9,L805:L807)</f>
        <v>174474.27</v>
      </c>
      <c r="M804" s="223">
        <f t="shared" si="258"/>
        <v>6.3185027840585916E-3</v>
      </c>
    </row>
    <row r="805" spans="2:13" s="313" customFormat="1" ht="18" x14ac:dyDescent="0.2">
      <c r="B805" s="314" t="s">
        <v>1055</v>
      </c>
      <c r="C805" s="315" t="str">
        <f>VLOOKUP(D805,Fontes!$A$6:$H$11629,8,FALSE)</f>
        <v>SINAPI / RJ</v>
      </c>
      <c r="D805" s="315">
        <v>88496</v>
      </c>
      <c r="E805" s="204" t="str">
        <f>VLOOKUP(D805,Fontes!$A$6:$H$11629,2,FALSE)</f>
        <v>Aplicação e lixamento de massa látex em teto, duas demãos</v>
      </c>
      <c r="F805" s="203">
        <v>2460.85</v>
      </c>
      <c r="G805" s="203" t="str">
        <f>VLOOKUP(D805,Fontes!$A$6:$L$11629,3,FALSE)</f>
        <v>m2</v>
      </c>
      <c r="H805" s="203">
        <v>18.800630112087248</v>
      </c>
      <c r="I805" s="203">
        <v>25.719369887912759</v>
      </c>
      <c r="J805" s="203">
        <v>0</v>
      </c>
      <c r="K805" s="316">
        <f t="shared" ref="K805:K807" si="269">ROUND(+H805+I805+J805,2)</f>
        <v>44.52</v>
      </c>
      <c r="L805" s="317">
        <f t="shared" ref="L805:L807" si="270">ROUND(F805*K805,2)</f>
        <v>109557.04</v>
      </c>
      <c r="M805" s="318">
        <f t="shared" si="258"/>
        <v>3.9675561459762438E-3</v>
      </c>
    </row>
    <row r="806" spans="2:13" s="313" customFormat="1" ht="18" x14ac:dyDescent="0.2">
      <c r="B806" s="314" t="s">
        <v>1059</v>
      </c>
      <c r="C806" s="315" t="str">
        <f>VLOOKUP(D806,Fontes!$A$6:$H$11629,8,FALSE)</f>
        <v>SINAPI / RJ</v>
      </c>
      <c r="D806" s="315">
        <v>88484</v>
      </c>
      <c r="E806" s="204" t="str">
        <f>VLOOKUP(D806,Fontes!$A$6:$H$11629,2,FALSE)</f>
        <v>Aplicação de fundo selador acrílico em teto, uma demão</v>
      </c>
      <c r="F806" s="203">
        <f>F805</f>
        <v>2460.85</v>
      </c>
      <c r="G806" s="203" t="str">
        <f>VLOOKUP(D806,Fontes!$A$6:$L$11629,3,FALSE)</f>
        <v>m2</v>
      </c>
      <c r="H806" s="203">
        <v>4.2362326869806095</v>
      </c>
      <c r="I806" s="203">
        <v>2.8437673130193901</v>
      </c>
      <c r="J806" s="203">
        <v>0</v>
      </c>
      <c r="K806" s="316">
        <f t="shared" si="269"/>
        <v>7.08</v>
      </c>
      <c r="L806" s="317">
        <f t="shared" si="270"/>
        <v>17422.82</v>
      </c>
      <c r="M806" s="318">
        <f t="shared" si="258"/>
        <v>6.3095914759323381E-4</v>
      </c>
    </row>
    <row r="807" spans="2:13" s="313" customFormat="1" ht="36" x14ac:dyDescent="0.2">
      <c r="B807" s="314" t="s">
        <v>2066</v>
      </c>
      <c r="C807" s="315" t="str">
        <f>VLOOKUP(D807,Fontes!$A$6:$H$11629,8,FALSE)</f>
        <v>SINAPI / RJ</v>
      </c>
      <c r="D807" s="315">
        <v>88488</v>
      </c>
      <c r="E807" s="204" t="str">
        <f>VLOOKUP(D807,Fontes!$A$6:$H$11629,2,FALSE)</f>
        <v>Aplicação manual de pintura com tinta látex acrílica em teto, duas demãos</v>
      </c>
      <c r="F807" s="203">
        <f>F806</f>
        <v>2460.85</v>
      </c>
      <c r="G807" s="203" t="str">
        <f>VLOOKUP(D807,Fontes!$A$6:$L$11629,3,FALSE)</f>
        <v>m2</v>
      </c>
      <c r="H807" s="203">
        <v>11.617799539170507</v>
      </c>
      <c r="I807" s="203">
        <v>7.6822004608294936</v>
      </c>
      <c r="J807" s="203">
        <v>0</v>
      </c>
      <c r="K807" s="316">
        <f t="shared" si="269"/>
        <v>19.3</v>
      </c>
      <c r="L807" s="317">
        <f t="shared" si="270"/>
        <v>47494.41</v>
      </c>
      <c r="M807" s="318">
        <f t="shared" si="258"/>
        <v>1.7199874904891149E-3</v>
      </c>
    </row>
    <row r="808" spans="2:13" s="109" customFormat="1" ht="18" x14ac:dyDescent="0.2">
      <c r="B808" s="114"/>
      <c r="C808" s="115"/>
      <c r="D808" s="115"/>
      <c r="E808" s="116"/>
      <c r="F808" s="117"/>
      <c r="G808" s="117"/>
      <c r="H808" s="117"/>
      <c r="I808" s="117"/>
      <c r="J808" s="117"/>
      <c r="K808" s="118"/>
      <c r="L808" s="119"/>
      <c r="M808" s="120">
        <f t="shared" si="258"/>
        <v>0</v>
      </c>
    </row>
    <row r="809" spans="2:13" s="109" customFormat="1" ht="25.5" customHeight="1" x14ac:dyDescent="0.2">
      <c r="B809" s="217" t="s">
        <v>1056</v>
      </c>
      <c r="C809" s="218"/>
      <c r="D809" s="218"/>
      <c r="E809" s="311" t="s">
        <v>1881</v>
      </c>
      <c r="F809" s="219"/>
      <c r="G809" s="220"/>
      <c r="H809" s="221"/>
      <c r="I809" s="221"/>
      <c r="J809" s="219"/>
      <c r="K809" s="219"/>
      <c r="L809" s="222">
        <f>SUBTOTAL(9,L810:L811)</f>
        <v>2167.6999999999998</v>
      </c>
      <c r="M809" s="223">
        <f t="shared" si="258"/>
        <v>7.850222548576251E-5</v>
      </c>
    </row>
    <row r="810" spans="2:13" s="313" customFormat="1" ht="54" x14ac:dyDescent="0.2">
      <c r="B810" s="314" t="s">
        <v>1057</v>
      </c>
      <c r="C810" s="315" t="str">
        <f>VLOOKUP(D810,Fontes!$A$6:$H$11629,8,FALSE)</f>
        <v>SINAPI / RJ</v>
      </c>
      <c r="D810" s="315">
        <v>100726</v>
      </c>
      <c r="E810" s="204" t="str">
        <f>VLOOKUP(D810,Fontes!$A$6:$H$11629,2,FALSE)</f>
        <v>Pintura com tinta alquídica de fundo e acabamento em esmalte sintético aplicada a rolo ou pincel sobre superfícies metálicas</v>
      </c>
      <c r="F810" s="203">
        <f>(0.9*2.1*3*F239)+(1.8*2.1*3*F240)+(0.3*F243)+(0.5*2*F246)</f>
        <v>56.48</v>
      </c>
      <c r="G810" s="203" t="str">
        <f>VLOOKUP(D810,Fontes!$A$6:$L$11629,3,FALSE)</f>
        <v>m2</v>
      </c>
      <c r="H810" s="203">
        <v>13.270048021764685</v>
      </c>
      <c r="I810" s="203">
        <v>25.109951978235316</v>
      </c>
      <c r="J810" s="203">
        <v>0</v>
      </c>
      <c r="K810" s="316">
        <f t="shared" ref="K810" si="271">ROUND(+H810+I810+J810,2)</f>
        <v>38.380000000000003</v>
      </c>
      <c r="L810" s="317">
        <f t="shared" ref="L810" si="272">ROUND(F810*K810,2)</f>
        <v>2167.6999999999998</v>
      </c>
      <c r="M810" s="318">
        <f t="shared" si="258"/>
        <v>7.850222548576251E-5</v>
      </c>
    </row>
    <row r="811" spans="2:13" s="109" customFormat="1" ht="18" x14ac:dyDescent="0.2">
      <c r="B811" s="114"/>
      <c r="C811" s="115"/>
      <c r="D811" s="115"/>
      <c r="E811" s="116"/>
      <c r="F811" s="117"/>
      <c r="G811" s="117"/>
      <c r="H811" s="117"/>
      <c r="I811" s="117"/>
      <c r="J811" s="117"/>
      <c r="K811" s="118"/>
      <c r="L811" s="119"/>
      <c r="M811" s="120">
        <f t="shared" si="258"/>
        <v>0</v>
      </c>
    </row>
    <row r="812" spans="2:13" s="109" customFormat="1" ht="18" x14ac:dyDescent="0.2">
      <c r="B812" s="114"/>
      <c r="C812" s="115"/>
      <c r="D812" s="115"/>
      <c r="E812" s="116"/>
      <c r="F812" s="117"/>
      <c r="G812" s="117"/>
      <c r="H812" s="117"/>
      <c r="I812" s="117"/>
      <c r="J812" s="117"/>
      <c r="K812" s="118"/>
      <c r="L812" s="119"/>
      <c r="M812" s="120">
        <f t="shared" si="258"/>
        <v>0</v>
      </c>
    </row>
    <row r="813" spans="2:13" s="109" customFormat="1" ht="25.5" customHeight="1" x14ac:dyDescent="0.2">
      <c r="B813" s="206">
        <v>20</v>
      </c>
      <c r="C813" s="207"/>
      <c r="D813" s="207"/>
      <c r="E813" s="309" t="s">
        <v>525</v>
      </c>
      <c r="F813" s="209"/>
      <c r="G813" s="205"/>
      <c r="H813" s="210"/>
      <c r="I813" s="210"/>
      <c r="J813" s="209"/>
      <c r="K813" s="209"/>
      <c r="L813" s="211">
        <f>SUBTOTAL(9,L814:L815)</f>
        <v>606529.46</v>
      </c>
      <c r="M813" s="212">
        <f t="shared" si="258"/>
        <v>2.19651761925902E-2</v>
      </c>
    </row>
    <row r="814" spans="2:13" s="313" customFormat="1" ht="54" x14ac:dyDescent="0.2">
      <c r="B814" s="314" t="s">
        <v>1060</v>
      </c>
      <c r="C814" s="315" t="str">
        <f>VLOOKUP(D814,Fontes!$A$6:$H$11629,8,FALSE)</f>
        <v>Custo Mercado Reajustado</v>
      </c>
      <c r="D814" s="315" t="s">
        <v>1360</v>
      </c>
      <c r="E814" s="204" t="str">
        <f>VLOOKUP(D814,Fontes!$A$6:$H$11629,2,FALSE)</f>
        <v>Elevador de passageiros sem casa de máquinas, 3 paradas, saída unilateral, com revestimento em aço inox</v>
      </c>
      <c r="F814" s="203">
        <v>1</v>
      </c>
      <c r="G814" s="203" t="str">
        <f>VLOOKUP(D814,Fontes!$A$6:$L$11629,3,FALSE)</f>
        <v>cj</v>
      </c>
      <c r="H814" s="203">
        <v>0</v>
      </c>
      <c r="I814" s="203">
        <v>0</v>
      </c>
      <c r="J814" s="203">
        <v>241291.22</v>
      </c>
      <c r="K814" s="316">
        <f t="shared" ref="K814:K815" si="273">ROUND(+H814+I814+J814,2)</f>
        <v>241291.22</v>
      </c>
      <c r="L814" s="317">
        <f t="shared" ref="L814:L815" si="274">ROUND(F814*K814,2)</f>
        <v>241291.22</v>
      </c>
      <c r="M814" s="318">
        <f t="shared" si="258"/>
        <v>8.7382468792613043E-3</v>
      </c>
    </row>
    <row r="815" spans="2:13" s="313" customFormat="1" ht="54" x14ac:dyDescent="0.2">
      <c r="B815" s="314" t="s">
        <v>1061</v>
      </c>
      <c r="C815" s="315" t="str">
        <f>VLOOKUP(D815,Fontes!$A$6:$H$11629,8,FALSE)</f>
        <v>Custo Mercado Reajustado</v>
      </c>
      <c r="D815" s="315" t="s">
        <v>1361</v>
      </c>
      <c r="E815" s="204" t="str">
        <f>VLOOKUP(D815,Fontes!$A$6:$H$11629,2,FALSE)</f>
        <v>Elevador de carga sem casa de máquinas, capacidade 1500 kg, 3 paradas, saída unilateral, com revestimento em aço inox</v>
      </c>
      <c r="F815" s="203">
        <v>1</v>
      </c>
      <c r="G815" s="203" t="str">
        <f>VLOOKUP(D815,Fontes!$A$6:$L$11629,3,FALSE)</f>
        <v>cj</v>
      </c>
      <c r="H815" s="203">
        <v>0</v>
      </c>
      <c r="I815" s="203">
        <v>0</v>
      </c>
      <c r="J815" s="203">
        <v>365238.23749999999</v>
      </c>
      <c r="K815" s="316">
        <f t="shared" si="273"/>
        <v>365238.24</v>
      </c>
      <c r="L815" s="317">
        <f t="shared" si="274"/>
        <v>365238.24</v>
      </c>
      <c r="M815" s="318">
        <f t="shared" si="258"/>
        <v>1.3226929313328894E-2</v>
      </c>
    </row>
    <row r="816" spans="2:13" s="109" customFormat="1" ht="18" x14ac:dyDescent="0.2">
      <c r="B816" s="114"/>
      <c r="C816" s="115"/>
      <c r="D816" s="115"/>
      <c r="E816" s="116"/>
      <c r="F816" s="117"/>
      <c r="G816" s="117"/>
      <c r="H816" s="117"/>
      <c r="I816" s="117"/>
      <c r="J816" s="117"/>
      <c r="K816" s="118"/>
      <c r="L816" s="119"/>
      <c r="M816" s="120">
        <f t="shared" si="258"/>
        <v>0</v>
      </c>
    </row>
    <row r="817" spans="2:13" s="109" customFormat="1" ht="18" x14ac:dyDescent="0.2">
      <c r="B817" s="114"/>
      <c r="C817" s="115"/>
      <c r="D817" s="115"/>
      <c r="E817" s="116"/>
      <c r="F817" s="117"/>
      <c r="G817" s="117"/>
      <c r="H817" s="117"/>
      <c r="I817" s="117"/>
      <c r="J817" s="117"/>
      <c r="K817" s="118"/>
      <c r="L817" s="119"/>
      <c r="M817" s="120">
        <f t="shared" si="258"/>
        <v>0</v>
      </c>
    </row>
    <row r="818" spans="2:13" s="109" customFormat="1" ht="25.5" customHeight="1" x14ac:dyDescent="0.2">
      <c r="B818" s="206">
        <v>21</v>
      </c>
      <c r="C818" s="207"/>
      <c r="D818" s="207"/>
      <c r="E818" s="309" t="s">
        <v>425</v>
      </c>
      <c r="F818" s="209"/>
      <c r="G818" s="205"/>
      <c r="H818" s="210"/>
      <c r="I818" s="210"/>
      <c r="J818" s="209"/>
      <c r="K818" s="209"/>
      <c r="L818" s="211">
        <f>SUBTOTAL(9,L820:L835)</f>
        <v>63831.659999999996</v>
      </c>
      <c r="M818" s="212">
        <f t="shared" si="258"/>
        <v>2.3116332363567501E-3</v>
      </c>
    </row>
    <row r="819" spans="2:13" s="109" customFormat="1" ht="25.5" customHeight="1" x14ac:dyDescent="0.2">
      <c r="B819" s="217" t="s">
        <v>1062</v>
      </c>
      <c r="C819" s="218"/>
      <c r="D819" s="218"/>
      <c r="E819" s="311" t="s">
        <v>526</v>
      </c>
      <c r="F819" s="219"/>
      <c r="G819" s="220"/>
      <c r="H819" s="221"/>
      <c r="I819" s="221"/>
      <c r="J819" s="219"/>
      <c r="K819" s="219"/>
      <c r="L819" s="222">
        <f>SUBTOTAL(9,L821:L835)</f>
        <v>60227.899999999994</v>
      </c>
      <c r="M819" s="223">
        <f t="shared" si="258"/>
        <v>2.1811247803358194E-3</v>
      </c>
    </row>
    <row r="820" spans="2:13" s="313" customFormat="1" ht="18" x14ac:dyDescent="0.2">
      <c r="B820" s="314" t="s">
        <v>1063</v>
      </c>
      <c r="C820" s="315" t="str">
        <f>VLOOKUP(D820,Fontes!$A$6:$H$11629,8,FALSE)</f>
        <v>SINAPI / RJ</v>
      </c>
      <c r="D820" s="315">
        <v>98519</v>
      </c>
      <c r="E820" s="204" t="str">
        <f>VLOOKUP(D820,Fontes!$A$6:$H$11629,2,FALSE)</f>
        <v>Revolvimento e limpeza manual de solo</v>
      </c>
      <c r="F820" s="203">
        <v>664.9</v>
      </c>
      <c r="G820" s="203" t="str">
        <f>VLOOKUP(D820,Fontes!$A$6:$L$11629,3,FALSE)</f>
        <v>m2</v>
      </c>
      <c r="H820" s="203">
        <v>1.6068141592920351</v>
      </c>
      <c r="I820" s="203">
        <v>3.8131858407079644</v>
      </c>
      <c r="J820" s="203">
        <v>0</v>
      </c>
      <c r="K820" s="316">
        <f t="shared" ref="K820:K822" si="275">ROUND(+H820+I820+J820,2)</f>
        <v>5.42</v>
      </c>
      <c r="L820" s="317">
        <f t="shared" ref="L820:L822" si="276">ROUND(F820*K820,2)</f>
        <v>3603.76</v>
      </c>
      <c r="M820" s="318">
        <f t="shared" si="258"/>
        <v>1.3050845602093072E-4</v>
      </c>
    </row>
    <row r="821" spans="2:13" s="313" customFormat="1" ht="18" x14ac:dyDescent="0.2">
      <c r="B821" s="314" t="s">
        <v>1065</v>
      </c>
      <c r="C821" s="315" t="str">
        <f>VLOOKUP(D821,Fontes!$A$6:$H$11629,8,FALSE)</f>
        <v>FACC</v>
      </c>
      <c r="D821" s="315" t="s">
        <v>1296</v>
      </c>
      <c r="E821" s="204" t="str">
        <f>VLOOKUP(D821,Fontes!$A$6:$H$11629,2,FALSE)</f>
        <v>Terra vegetal tratada para plantio</v>
      </c>
      <c r="F821" s="203">
        <v>33.299999999999997</v>
      </c>
      <c r="G821" s="203" t="str">
        <f>VLOOKUP(D821,Fontes!$A$6:$L$11629,3,FALSE)</f>
        <v>m3</v>
      </c>
      <c r="H821" s="203">
        <v>213.42</v>
      </c>
      <c r="I821" s="203">
        <v>246.42</v>
      </c>
      <c r="J821" s="203">
        <v>0</v>
      </c>
      <c r="K821" s="316">
        <f t="shared" si="275"/>
        <v>459.84</v>
      </c>
      <c r="L821" s="317">
        <f t="shared" si="276"/>
        <v>15312.67</v>
      </c>
      <c r="M821" s="318">
        <f t="shared" si="258"/>
        <v>5.5454106801175029E-4</v>
      </c>
    </row>
    <row r="822" spans="2:13" s="313" customFormat="1" ht="18" x14ac:dyDescent="0.2">
      <c r="B822" s="314" t="s">
        <v>2067</v>
      </c>
      <c r="C822" s="315" t="str">
        <f>VLOOKUP(D822,Fontes!$A$6:$H$11629,8,FALSE)</f>
        <v>SINAPI / RJ</v>
      </c>
      <c r="D822" s="315">
        <v>98504</v>
      </c>
      <c r="E822" s="204" t="str">
        <f>VLOOKUP(D822,Fontes!$A$6:$H$11629,2,FALSE)</f>
        <v>Plantio de grama em placas</v>
      </c>
      <c r="F822" s="203">
        <v>584</v>
      </c>
      <c r="G822" s="203" t="str">
        <f>VLOOKUP(D822,Fontes!$A$6:$L$11629,3,FALSE)</f>
        <v>m2</v>
      </c>
      <c r="H822" s="203">
        <v>13.750279569892474</v>
      </c>
      <c r="I822" s="203">
        <v>4.1097204301075267</v>
      </c>
      <c r="J822" s="203">
        <v>0</v>
      </c>
      <c r="K822" s="316">
        <f t="shared" si="275"/>
        <v>17.86</v>
      </c>
      <c r="L822" s="317">
        <f t="shared" si="276"/>
        <v>10430.24</v>
      </c>
      <c r="M822" s="318">
        <f t="shared" si="258"/>
        <v>3.7772618551949977E-4</v>
      </c>
    </row>
    <row r="823" spans="2:13" s="313" customFormat="1" ht="18" x14ac:dyDescent="0.2">
      <c r="B823" s="314" t="s">
        <v>2068</v>
      </c>
      <c r="C823" s="315" t="str">
        <f>VLOOKUP(D823,Fontes!$A$6:$H$11629,8,FALSE)</f>
        <v>SINAPI / RJ</v>
      </c>
      <c r="D823" s="315">
        <v>98505</v>
      </c>
      <c r="E823" s="204" t="str">
        <f>VLOOKUP(D823,Fontes!$A$6:$H$11629,2,FALSE)</f>
        <v>Plantio de forração</v>
      </c>
      <c r="F823" s="203">
        <v>80.900000000000006</v>
      </c>
      <c r="G823" s="203" t="str">
        <f>VLOOKUP(D823,Fontes!$A$6:$L$11629,3,FALSE)</f>
        <v>m2</v>
      </c>
      <c r="H823" s="203">
        <v>31.822790874524721</v>
      </c>
      <c r="I823" s="203">
        <v>6.2372091254752862</v>
      </c>
      <c r="J823" s="203">
        <v>0</v>
      </c>
      <c r="K823" s="316">
        <f t="shared" ref="K823" si="277">ROUND(+H823+I823+J823,2)</f>
        <v>38.06</v>
      </c>
      <c r="L823" s="317">
        <f t="shared" ref="L823" si="278">ROUND(F823*K823,2)</f>
        <v>3079.05</v>
      </c>
      <c r="M823" s="318">
        <f t="shared" si="258"/>
        <v>1.1150633269453204E-4</v>
      </c>
    </row>
    <row r="824" spans="2:13" s="313" customFormat="1" ht="18" x14ac:dyDescent="0.2">
      <c r="B824" s="314" t="s">
        <v>1065</v>
      </c>
      <c r="C824" s="315"/>
      <c r="D824" s="315"/>
      <c r="E824" s="319" t="s">
        <v>1412</v>
      </c>
      <c r="F824" s="203"/>
      <c r="G824" s="203"/>
      <c r="H824" s="203"/>
      <c r="I824" s="203"/>
      <c r="J824" s="203"/>
      <c r="K824" s="316"/>
      <c r="L824" s="317"/>
      <c r="M824" s="318">
        <f t="shared" si="258"/>
        <v>0</v>
      </c>
    </row>
    <row r="825" spans="2:13" s="313" customFormat="1" ht="18" x14ac:dyDescent="0.2">
      <c r="B825" s="314" t="s">
        <v>2069</v>
      </c>
      <c r="C825" s="315" t="str">
        <f>VLOOKUP(D825,Fontes!$A$6:$H$11629,8,FALSE)</f>
        <v>CDHU</v>
      </c>
      <c r="D825" s="315" t="s">
        <v>2356</v>
      </c>
      <c r="E825" s="204" t="str">
        <f>VLOOKUP(D825,Fontes!$A$6:$H$11629,2,FALSE)</f>
        <v>Forma plana em compensado para estrutura aparente</v>
      </c>
      <c r="F825" s="203">
        <v>49.85</v>
      </c>
      <c r="G825" s="203" t="str">
        <f>VLOOKUP(D825,Fontes!$A$6:$L$11629,3,FALSE)</f>
        <v>m2</v>
      </c>
      <c r="H825" s="203">
        <v>129.09</v>
      </c>
      <c r="I825" s="203">
        <v>70.489999999999995</v>
      </c>
      <c r="J825" s="203">
        <v>0</v>
      </c>
      <c r="K825" s="316">
        <f t="shared" ref="K825:K826" si="279">ROUND(+H825+I825+J825,2)</f>
        <v>199.58</v>
      </c>
      <c r="L825" s="317">
        <f t="shared" ref="L825:L826" si="280">ROUND(F825*K825,2)</f>
        <v>9949.06</v>
      </c>
      <c r="M825" s="318">
        <f t="shared" si="258"/>
        <v>3.6030048045918733E-4</v>
      </c>
    </row>
    <row r="826" spans="2:13" s="313" customFormat="1" ht="36" x14ac:dyDescent="0.2">
      <c r="B826" s="314" t="s">
        <v>2070</v>
      </c>
      <c r="C826" s="315" t="str">
        <f>VLOOKUP(D826,Fontes!$A$6:$H$11629,8,FALSE)</f>
        <v>SBC / RJ</v>
      </c>
      <c r="D826" s="315">
        <v>40169</v>
      </c>
      <c r="E826" s="204" t="str">
        <f>VLOOKUP(D826,Fontes!$A$6:$H$11629,2,FALSE)</f>
        <v>Armação em aço CA-50 10,0 mm incluindo corte, dobra e colocação em formas</v>
      </c>
      <c r="F826" s="203">
        <v>310.05</v>
      </c>
      <c r="G826" s="203" t="str">
        <f>VLOOKUP(D826,Fontes!$A$6:$L$11629,3,FALSE)</f>
        <v>kg</v>
      </c>
      <c r="H826" s="203">
        <v>10.42</v>
      </c>
      <c r="I826" s="203">
        <v>3.89</v>
      </c>
      <c r="J826" s="203">
        <v>0</v>
      </c>
      <c r="K826" s="316">
        <f t="shared" si="279"/>
        <v>14.31</v>
      </c>
      <c r="L826" s="317">
        <f t="shared" si="280"/>
        <v>4436.82</v>
      </c>
      <c r="M826" s="318">
        <f t="shared" si="258"/>
        <v>1.6067732808033438E-4</v>
      </c>
    </row>
    <row r="827" spans="2:13" s="313" customFormat="1" ht="54" x14ac:dyDescent="0.2">
      <c r="B827" s="314" t="s">
        <v>2071</v>
      </c>
      <c r="C827" s="315" t="str">
        <f>VLOOKUP(D827,Fontes!$A$6:$H$11629,8,FALSE)</f>
        <v>SINAPI / RJ</v>
      </c>
      <c r="D827" s="315">
        <v>94965</v>
      </c>
      <c r="E827" s="204" t="str">
        <f>VLOOKUP(D827,Fontes!$A$6:$H$11629,2,FALSE)</f>
        <v>Concreto fck = 25mpa, traço 1:2,3:2,7 (em massa seca de cimento/ areia média/ brita 1) - preparo mecânico com betoneira 400 l</v>
      </c>
      <c r="F827" s="203">
        <v>4.13</v>
      </c>
      <c r="G827" s="203" t="str">
        <f>VLOOKUP(D827,Fontes!$A$6:$L$11629,3,FALSE)</f>
        <v>m3</v>
      </c>
      <c r="H827" s="203">
        <v>433.75831808467206</v>
      </c>
      <c r="I827" s="203">
        <v>83.676018058257085</v>
      </c>
      <c r="J827" s="203">
        <v>1.9456638570708162</v>
      </c>
      <c r="K827" s="316">
        <f t="shared" ref="K827" si="281">ROUND(+H827+I827+J827,2)</f>
        <v>519.38</v>
      </c>
      <c r="L827" s="317">
        <f t="shared" ref="L827" si="282">ROUND(F827*K827,2)</f>
        <v>2145.04</v>
      </c>
      <c r="M827" s="318">
        <f t="shared" si="258"/>
        <v>7.7681604352991659E-5</v>
      </c>
    </row>
    <row r="828" spans="2:13" s="313" customFormat="1" ht="36" x14ac:dyDescent="0.2">
      <c r="B828" s="314" t="s">
        <v>2072</v>
      </c>
      <c r="C828" s="315" t="str">
        <f>VLOOKUP(D828,Fontes!$A$6:$H$11629,8,FALSE)</f>
        <v>SINAPI / RJ</v>
      </c>
      <c r="D828" s="315">
        <v>103670</v>
      </c>
      <c r="E828" s="204" t="str">
        <f>VLOOKUP(D828,Fontes!$A$6:$H$11629,2,FALSE)</f>
        <v>Lançamento com uso de baldes, adensamento e acabamento de concreto em estruturas</v>
      </c>
      <c r="F828" s="203">
        <f>F827</f>
        <v>4.13</v>
      </c>
      <c r="G828" s="203" t="str">
        <f>VLOOKUP(D828,Fontes!$A$6:$L$11629,3,FALSE)</f>
        <v>m3</v>
      </c>
      <c r="H828" s="203">
        <v>125.00613206966581</v>
      </c>
      <c r="I828" s="203">
        <v>312.48824912302297</v>
      </c>
      <c r="J828" s="203">
        <v>2.5456188073112189</v>
      </c>
      <c r="K828" s="316">
        <f t="shared" ref="K828:K831" si="283">ROUND(+H828+I828+J828,2)</f>
        <v>440.04</v>
      </c>
      <c r="L828" s="317">
        <f t="shared" ref="L828:L831" si="284">ROUND(F828*K828,2)</f>
        <v>1817.37</v>
      </c>
      <c r="M828" s="318">
        <f t="shared" si="258"/>
        <v>6.5815191000166169E-5</v>
      </c>
    </row>
    <row r="829" spans="2:13" s="313" customFormat="1" ht="36" x14ac:dyDescent="0.2">
      <c r="B829" s="314" t="s">
        <v>2073</v>
      </c>
      <c r="C829" s="315" t="str">
        <f>VLOOKUP(D829,Fontes!$A$6:$H$11629,8,FALSE)</f>
        <v>SBC / RJ</v>
      </c>
      <c r="D829" s="315">
        <v>160016</v>
      </c>
      <c r="E829" s="204" t="str">
        <f>VLOOKUP(D829,Fontes!$A$6:$H$11629,2,FALSE)</f>
        <v>Impermeabilização de lajes com manta asfáltica 4 mm incluso regularização de base</v>
      </c>
      <c r="F829" s="203">
        <v>23.79</v>
      </c>
      <c r="G829" s="203" t="str">
        <f>VLOOKUP(D829,Fontes!$A$6:$L$11629,3,FALSE)</f>
        <v>m2</v>
      </c>
      <c r="H829" s="203">
        <v>66.09</v>
      </c>
      <c r="I829" s="203">
        <v>144.13</v>
      </c>
      <c r="J829" s="203">
        <v>0</v>
      </c>
      <c r="K829" s="316">
        <f t="shared" si="283"/>
        <v>210.22</v>
      </c>
      <c r="L829" s="317">
        <f t="shared" si="284"/>
        <v>5001.13</v>
      </c>
      <c r="M829" s="318">
        <f t="shared" si="258"/>
        <v>1.8111354659021612E-4</v>
      </c>
    </row>
    <row r="830" spans="2:13" s="313" customFormat="1" ht="36" x14ac:dyDescent="0.2">
      <c r="B830" s="314" t="s">
        <v>2074</v>
      </c>
      <c r="C830" s="315" t="str">
        <f>VLOOKUP(D830,Fontes!$A$6:$H$11629,8,FALSE)</f>
        <v>SINAPI / RJ</v>
      </c>
      <c r="D830" s="315">
        <v>98565</v>
      </c>
      <c r="E830" s="204" t="str">
        <f>VLOOKUP(D830,Fontes!$A$6:$H$11629,2,FALSE)</f>
        <v>Proteção mecânica de superficie horizontal com argamassa de cimento e areia, traço 1:3, e=3cm</v>
      </c>
      <c r="F830" s="203">
        <v>9.41</v>
      </c>
      <c r="G830" s="203" t="str">
        <f>VLOOKUP(D830,Fontes!$A$6:$L$11629,3,FALSE)</f>
        <v>m2</v>
      </c>
      <c r="H830" s="203">
        <v>35.436464022324095</v>
      </c>
      <c r="I830" s="203">
        <v>31.753535977675899</v>
      </c>
      <c r="J830" s="203">
        <v>0</v>
      </c>
      <c r="K830" s="316">
        <f t="shared" si="283"/>
        <v>67.19</v>
      </c>
      <c r="L830" s="317">
        <f t="shared" si="284"/>
        <v>632.26</v>
      </c>
      <c r="M830" s="318">
        <f t="shared" si="258"/>
        <v>2.2896995472449236E-5</v>
      </c>
    </row>
    <row r="831" spans="2:13" s="313" customFormat="1" ht="36" x14ac:dyDescent="0.2">
      <c r="B831" s="314" t="s">
        <v>2075</v>
      </c>
      <c r="C831" s="315" t="str">
        <f>VLOOKUP(D831,Fontes!$A$6:$H$11629,8,FALSE)</f>
        <v>SINAPI / RJ</v>
      </c>
      <c r="D831" s="315">
        <v>98566</v>
      </c>
      <c r="E831" s="204" t="str">
        <f>VLOOKUP(D831,Fontes!$A$6:$H$11629,2,FALSE)</f>
        <v>Proteção mecânica de superfície vertical com argamassa de cimento e areia, traço 1:3, e=3cm</v>
      </c>
      <c r="F831" s="203">
        <v>14.38</v>
      </c>
      <c r="G831" s="203" t="str">
        <f>VLOOKUP(D831,Fontes!$A$6:$L$11629,3,FALSE)</f>
        <v>m2</v>
      </c>
      <c r="H831" s="203">
        <v>51.285241379310335</v>
      </c>
      <c r="I831" s="203">
        <v>29.544758620689652</v>
      </c>
      <c r="J831" s="203">
        <v>0</v>
      </c>
      <c r="K831" s="316">
        <f t="shared" si="283"/>
        <v>80.83</v>
      </c>
      <c r="L831" s="317">
        <f t="shared" si="284"/>
        <v>1162.3399999999999</v>
      </c>
      <c r="M831" s="318">
        <f t="shared" ref="M831:M848" si="285">+L831/$L$851</f>
        <v>4.2093590797214188E-5</v>
      </c>
    </row>
    <row r="832" spans="2:13" s="313" customFormat="1" ht="36" x14ac:dyDescent="0.2">
      <c r="B832" s="314" t="s">
        <v>2076</v>
      </c>
      <c r="C832" s="315" t="str">
        <f>VLOOKUP(D832,Fontes!$A$6:$H$11629,8,FALSE)</f>
        <v>SINAPI / RJ</v>
      </c>
      <c r="D832" s="315">
        <v>104421</v>
      </c>
      <c r="E832" s="204" t="str">
        <f>VLOOKUP(D832,Fontes!$A$6:$H$11629,2,FALSE)</f>
        <v>Estucamento de panos de fachada sem vãos do sistema de paredes de concreto em edificações de pavimento único</v>
      </c>
      <c r="F832" s="203">
        <v>57.94</v>
      </c>
      <c r="G832" s="203" t="str">
        <f>VLOOKUP(D832,Fontes!$A$6:$L$11629,3,FALSE)</f>
        <v>m2</v>
      </c>
      <c r="H832" s="203">
        <v>5.2343967039434967</v>
      </c>
      <c r="I832" s="203">
        <v>14.705603296056504</v>
      </c>
      <c r="J832" s="203">
        <v>0</v>
      </c>
      <c r="K832" s="316">
        <f t="shared" ref="K832:K835" si="286">ROUND(+H832+I832+J832,2)</f>
        <v>19.940000000000001</v>
      </c>
      <c r="L832" s="317">
        <f t="shared" ref="L832:L835" si="287">ROUND(F832*K832,2)</f>
        <v>1155.32</v>
      </c>
      <c r="M832" s="318">
        <f t="shared" si="285"/>
        <v>4.1839364832869465E-5</v>
      </c>
    </row>
    <row r="833" spans="2:13" s="313" customFormat="1" ht="36" x14ac:dyDescent="0.2">
      <c r="B833" s="314" t="s">
        <v>2077</v>
      </c>
      <c r="C833" s="315" t="str">
        <f>VLOOKUP(D833,Fontes!$A$6:$H$11629,8,FALSE)</f>
        <v>SBC / RJ</v>
      </c>
      <c r="D833" s="315">
        <v>180063</v>
      </c>
      <c r="E833" s="204" t="str">
        <f>VLOOKUP(D833,Fontes!$A$6:$H$11629,2,FALSE)</f>
        <v>Pintura em verniz acrílico duas demãos sobre concreto aparente</v>
      </c>
      <c r="F833" s="203">
        <f>F832</f>
        <v>57.94</v>
      </c>
      <c r="G833" s="203" t="str">
        <f>VLOOKUP(D833,Fontes!$A$6:$L$11629,3,FALSE)</f>
        <v>m2</v>
      </c>
      <c r="H833" s="203">
        <v>26.550000000000004</v>
      </c>
      <c r="I833" s="203">
        <v>19.549999999999997</v>
      </c>
      <c r="J833" s="203">
        <v>0</v>
      </c>
      <c r="K833" s="316">
        <f t="shared" si="286"/>
        <v>46.1</v>
      </c>
      <c r="L833" s="317">
        <f t="shared" si="287"/>
        <v>2671.03</v>
      </c>
      <c r="M833" s="318">
        <f t="shared" si="285"/>
        <v>9.6730082271179714E-5</v>
      </c>
    </row>
    <row r="834" spans="2:13" s="313" customFormat="1" ht="18" x14ac:dyDescent="0.2">
      <c r="B834" s="314" t="s">
        <v>2078</v>
      </c>
      <c r="C834" s="315" t="str">
        <f>VLOOKUP(D834,Fontes!$A$6:$H$11629,8,FALSE)</f>
        <v>FACC</v>
      </c>
      <c r="D834" s="315" t="s">
        <v>1296</v>
      </c>
      <c r="E834" s="204" t="str">
        <f>VLOOKUP(D834,Fontes!$A$6:$H$11629,2,FALSE)</f>
        <v>Terra vegetal tratada para plantio</v>
      </c>
      <c r="F834" s="203">
        <f>F835*0.48</f>
        <v>4.5175679999999998</v>
      </c>
      <c r="G834" s="203" t="str">
        <f>VLOOKUP(D834,Fontes!$A$6:$L$11629,3,FALSE)</f>
        <v>m3</v>
      </c>
      <c r="H834" s="203">
        <v>213.42</v>
      </c>
      <c r="I834" s="203">
        <v>246.42</v>
      </c>
      <c r="J834" s="203">
        <v>0</v>
      </c>
      <c r="K834" s="316">
        <f t="shared" si="286"/>
        <v>459.84</v>
      </c>
      <c r="L834" s="317">
        <f t="shared" si="287"/>
        <v>2077.36</v>
      </c>
      <c r="M834" s="318">
        <f t="shared" si="285"/>
        <v>7.5230605312129735E-5</v>
      </c>
    </row>
    <row r="835" spans="2:13" s="313" customFormat="1" ht="18" x14ac:dyDescent="0.2">
      <c r="B835" s="314" t="s">
        <v>2079</v>
      </c>
      <c r="C835" s="315" t="str">
        <f>VLOOKUP(D835,Fontes!$A$6:$H$11629,8,FALSE)</f>
        <v>SINAPI / RJ</v>
      </c>
      <c r="D835" s="315">
        <v>98505</v>
      </c>
      <c r="E835" s="204" t="str">
        <f>VLOOKUP(D835,Fontes!$A$6:$H$11629,2,FALSE)</f>
        <v>Plantio de forração</v>
      </c>
      <c r="F835" s="203">
        <f>5.06*0.93*2</f>
        <v>9.4116</v>
      </c>
      <c r="G835" s="203" t="str">
        <f>VLOOKUP(D835,Fontes!$A$6:$L$11629,3,FALSE)</f>
        <v>m2</v>
      </c>
      <c r="H835" s="203">
        <v>31.822790874524721</v>
      </c>
      <c r="I835" s="203">
        <v>6.2372091254752862</v>
      </c>
      <c r="J835" s="203">
        <v>0</v>
      </c>
      <c r="K835" s="316">
        <f t="shared" si="286"/>
        <v>38.06</v>
      </c>
      <c r="L835" s="317">
        <f t="shared" si="287"/>
        <v>358.21</v>
      </c>
      <c r="M835" s="318">
        <f t="shared" si="285"/>
        <v>1.2972404941299529E-5</v>
      </c>
    </row>
    <row r="836" spans="2:13" s="109" customFormat="1" ht="18" x14ac:dyDescent="0.2">
      <c r="B836" s="114"/>
      <c r="C836" s="115"/>
      <c r="D836" s="315"/>
      <c r="E836" s="116"/>
      <c r="F836" s="117"/>
      <c r="G836" s="117"/>
      <c r="H836" s="117"/>
      <c r="I836" s="117"/>
      <c r="J836" s="117"/>
      <c r="K836" s="118"/>
      <c r="L836" s="119"/>
      <c r="M836" s="120">
        <f t="shared" si="285"/>
        <v>0</v>
      </c>
    </row>
    <row r="837" spans="2:13" s="109" customFormat="1" ht="18" x14ac:dyDescent="0.2">
      <c r="B837" s="114"/>
      <c r="C837" s="115"/>
      <c r="D837" s="115"/>
      <c r="E837" s="116"/>
      <c r="F837" s="117"/>
      <c r="G837" s="117"/>
      <c r="H837" s="117"/>
      <c r="I837" s="117"/>
      <c r="J837" s="117"/>
      <c r="K837" s="118"/>
      <c r="L837" s="119"/>
      <c r="M837" s="120">
        <f t="shared" si="285"/>
        <v>0</v>
      </c>
    </row>
    <row r="838" spans="2:13" s="109" customFormat="1" ht="25.5" customHeight="1" x14ac:dyDescent="0.2">
      <c r="B838" s="217">
        <v>22</v>
      </c>
      <c r="C838" s="218"/>
      <c r="D838" s="218"/>
      <c r="E838" s="311" t="s">
        <v>1064</v>
      </c>
      <c r="F838" s="219"/>
      <c r="G838" s="220"/>
      <c r="H838" s="221"/>
      <c r="I838" s="221"/>
      <c r="J838" s="219"/>
      <c r="K838" s="219"/>
      <c r="L838" s="211">
        <f>SUBTOTAL(9,L840:L848)</f>
        <v>57513.040000000008</v>
      </c>
      <c r="M838" s="223">
        <f t="shared" si="285"/>
        <v>2.0828074154411033E-3</v>
      </c>
    </row>
    <row r="839" spans="2:13" s="313" customFormat="1" ht="36" x14ac:dyDescent="0.2">
      <c r="B839" s="314" t="s">
        <v>2080</v>
      </c>
      <c r="C839" s="315" t="str">
        <f>VLOOKUP(D839,Fontes!$A$6:$H$11629,8,FALSE)</f>
        <v>SINAPI / RJ</v>
      </c>
      <c r="D839" s="315">
        <v>99806</v>
      </c>
      <c r="E839" s="204" t="str">
        <f>VLOOKUP(D839,Fontes!$A$6:$H$11629,2,FALSE)</f>
        <v>Limpeza de revestimento cerâmico em parede com pano úmido</v>
      </c>
      <c r="F839" s="203">
        <f>F703+F704</f>
        <v>552.9</v>
      </c>
      <c r="G839" s="203" t="str">
        <f>VLOOKUP(D839,Fontes!$A$6:$L$11629,3,FALSE)</f>
        <v>m2</v>
      </c>
      <c r="H839" s="203">
        <v>1.1082105263157895</v>
      </c>
      <c r="I839" s="203">
        <v>2.6517894736842105</v>
      </c>
      <c r="J839" s="203">
        <v>0</v>
      </c>
      <c r="K839" s="316">
        <f t="shared" ref="K839:K848" si="288">ROUND(+H839+I839+J839,2)</f>
        <v>3.76</v>
      </c>
      <c r="L839" s="317">
        <f t="shared" ref="L839:L848" si="289">ROUND(F839*K839,2)</f>
        <v>2078.9</v>
      </c>
      <c r="M839" s="318">
        <f t="shared" si="285"/>
        <v>7.5286375680376304E-5</v>
      </c>
    </row>
    <row r="840" spans="2:13" s="313" customFormat="1" ht="36" x14ac:dyDescent="0.2">
      <c r="B840" s="314" t="s">
        <v>2081</v>
      </c>
      <c r="C840" s="315" t="str">
        <f>VLOOKUP(D840,Fontes!$A$6:$H$11629,8,FALSE)</f>
        <v>SINAPI / RJ</v>
      </c>
      <c r="D840" s="315">
        <v>99803</v>
      </c>
      <c r="E840" s="204" t="str">
        <f>VLOOKUP(D840,Fontes!$A$6:$H$11629,2,FALSE)</f>
        <v>Limpeza de piso cerâmico, cimentício, epoxi ou porcelanato com pano úmido</v>
      </c>
      <c r="F840" s="203">
        <f>F733+F734+F735+F736+F759+F784+F766+F767+F768</f>
        <v>2342.8000000000002</v>
      </c>
      <c r="G840" s="203" t="str">
        <f>VLOOKUP(D840,Fontes!$A$6:$L$11629,3,FALSE)</f>
        <v>m2</v>
      </c>
      <c r="H840" s="203">
        <v>1.6160869565217391</v>
      </c>
      <c r="I840" s="203">
        <v>3.6939130434782612</v>
      </c>
      <c r="J840" s="203">
        <v>0</v>
      </c>
      <c r="K840" s="316">
        <f t="shared" si="288"/>
        <v>5.31</v>
      </c>
      <c r="L840" s="317">
        <f t="shared" si="289"/>
        <v>12440.27</v>
      </c>
      <c r="M840" s="318">
        <f t="shared" si="285"/>
        <v>4.5051846687446E-4</v>
      </c>
    </row>
    <row r="841" spans="2:13" s="313" customFormat="1" ht="36" x14ac:dyDescent="0.2">
      <c r="B841" s="314" t="s">
        <v>2082</v>
      </c>
      <c r="C841" s="315" t="str">
        <f>VLOOKUP(D841,Fontes!$A$6:$H$11629,8,FALSE)</f>
        <v>SINAPI / RJ</v>
      </c>
      <c r="D841" s="315">
        <v>99810</v>
      </c>
      <c r="E841" s="204" t="str">
        <f>VLOOKUP(D841,Fontes!$A$6:$H$11629,2,FALSE)</f>
        <v>Limpeza de piso de mármore/granito utilizando detergente neutro e escovação manual</v>
      </c>
      <c r="F841" s="203">
        <f>F742+F743+(F751*0.29*1.2)+(F753*0.6*1.2)+(F754*0.57*1.2)+(F755*0.67*1.2)</f>
        <v>321.95999999999998</v>
      </c>
      <c r="G841" s="203" t="str">
        <f>VLOOKUP(D841,Fontes!$A$6:$L$11629,3,FALSE)</f>
        <v>m2</v>
      </c>
      <c r="H841" s="203">
        <v>2.7897044334975361</v>
      </c>
      <c r="I841" s="203">
        <v>5.9902955665024615</v>
      </c>
      <c r="J841" s="203">
        <v>0</v>
      </c>
      <c r="K841" s="316">
        <f t="shared" si="288"/>
        <v>8.7799999999999994</v>
      </c>
      <c r="L841" s="317">
        <f t="shared" si="289"/>
        <v>2826.81</v>
      </c>
      <c r="M841" s="318">
        <f t="shared" si="285"/>
        <v>1.0237158095004306E-4</v>
      </c>
    </row>
    <row r="842" spans="2:13" s="313" customFormat="1" ht="18" x14ac:dyDescent="0.2">
      <c r="B842" s="314" t="s">
        <v>2083</v>
      </c>
      <c r="C842" s="315" t="str">
        <f>VLOOKUP(D842,Fontes!$A$6:$H$11629,8,FALSE)</f>
        <v>SBC / RJ</v>
      </c>
      <c r="D842" s="315">
        <v>210010</v>
      </c>
      <c r="E842" s="204" t="str">
        <f>VLOOKUP(D842,Fontes!$A$6:$H$11629,2,FALSE)</f>
        <v>Limpeza de pisos vinílicos com aplicação de cera</v>
      </c>
      <c r="F842" s="203">
        <f>F758+F760</f>
        <v>655.5</v>
      </c>
      <c r="G842" s="203" t="str">
        <f>VLOOKUP(D842,Fontes!$A$6:$L$11629,3,FALSE)</f>
        <v>m2</v>
      </c>
      <c r="H842" s="203">
        <v>17.090000000000003</v>
      </c>
      <c r="I842" s="203">
        <v>35.909999999999997</v>
      </c>
      <c r="J842" s="203">
        <v>0</v>
      </c>
      <c r="K842" s="316">
        <f t="shared" si="288"/>
        <v>53</v>
      </c>
      <c r="L842" s="317">
        <f t="shared" si="289"/>
        <v>34741.5</v>
      </c>
      <c r="M842" s="318">
        <f t="shared" si="285"/>
        <v>1.2581469145701058E-3</v>
      </c>
    </row>
    <row r="843" spans="2:13" s="313" customFormat="1" ht="18" x14ac:dyDescent="0.2">
      <c r="B843" s="314" t="s">
        <v>2084</v>
      </c>
      <c r="C843" s="315" t="str">
        <f>VLOOKUP(D843,Fontes!$A$6:$H$11629,8,FALSE)</f>
        <v>SBC / RJ</v>
      </c>
      <c r="D843" s="315">
        <v>210011</v>
      </c>
      <c r="E843" s="204" t="str">
        <f>VLOOKUP(D843,Fontes!$A$6:$H$11629,2,FALSE)</f>
        <v>Limpeza de pisos cimentados</v>
      </c>
      <c r="F843" s="203">
        <f>F771</f>
        <v>52.32</v>
      </c>
      <c r="G843" s="203" t="str">
        <f>VLOOKUP(D843,Fontes!$A$6:$L$11629,3,FALSE)</f>
        <v>m2</v>
      </c>
      <c r="H843" s="203">
        <v>1.75</v>
      </c>
      <c r="I843" s="203">
        <v>13</v>
      </c>
      <c r="J843" s="203">
        <v>0</v>
      </c>
      <c r="K843" s="316">
        <f t="shared" ref="K843" si="290">ROUND(+H843+I843+J843,2)</f>
        <v>14.75</v>
      </c>
      <c r="L843" s="317">
        <f t="shared" ref="L843" si="291">ROUND(F843*K843,2)</f>
        <v>771.72</v>
      </c>
      <c r="M843" s="318">
        <f t="shared" si="285"/>
        <v>2.7947473105998363E-5</v>
      </c>
    </row>
    <row r="844" spans="2:13" s="313" customFormat="1" ht="36" x14ac:dyDescent="0.2">
      <c r="B844" s="314" t="s">
        <v>2085</v>
      </c>
      <c r="C844" s="315" t="str">
        <f>VLOOKUP(D844,Fontes!$A$6:$H$11629,8,FALSE)</f>
        <v>SINAPI / RJ</v>
      </c>
      <c r="D844" s="315">
        <v>99815</v>
      </c>
      <c r="E844" s="204" t="str">
        <f>VLOOKUP(D844,Fontes!$A$6:$H$11629,2,FALSE)</f>
        <v>Limpeza de pia inox com bancada de pedra, inclusive metais correspondentes</v>
      </c>
      <c r="F844" s="203">
        <v>5</v>
      </c>
      <c r="G844" s="203" t="str">
        <f>VLOOKUP(D844,Fontes!$A$6:$L$11629,3,FALSE)</f>
        <v>un</v>
      </c>
      <c r="H844" s="203">
        <v>5.6024999999999991</v>
      </c>
      <c r="I844" s="203">
        <v>6.0074999999999985</v>
      </c>
      <c r="J844" s="203">
        <v>0</v>
      </c>
      <c r="K844" s="316">
        <f t="shared" si="288"/>
        <v>11.61</v>
      </c>
      <c r="L844" s="317">
        <f t="shared" si="289"/>
        <v>58.05</v>
      </c>
      <c r="M844" s="318">
        <f t="shared" si="285"/>
        <v>2.1022531666967358E-6</v>
      </c>
    </row>
    <row r="845" spans="2:13" s="313" customFormat="1" ht="36" x14ac:dyDescent="0.2">
      <c r="B845" s="314" t="s">
        <v>2086</v>
      </c>
      <c r="C845" s="315" t="str">
        <f>VLOOKUP(D845,Fontes!$A$6:$H$11629,8,FALSE)</f>
        <v>SINAPI / RJ</v>
      </c>
      <c r="D845" s="315">
        <v>99816</v>
      </c>
      <c r="E845" s="204" t="str">
        <f>VLOOKUP(D845,Fontes!$A$6:$H$11629,2,FALSE)</f>
        <v>Limpeza de tanque ou lavatório de louça isolado, inclusive metais correspondentes. af_04/2019</v>
      </c>
      <c r="F845" s="203">
        <v>9</v>
      </c>
      <c r="G845" s="203" t="str">
        <f>VLOOKUP(D845,Fontes!$A$6:$L$11629,3,FALSE)</f>
        <v>un</v>
      </c>
      <c r="H845" s="203">
        <v>5.2487704026115338</v>
      </c>
      <c r="I845" s="203">
        <v>5.8912295973884659</v>
      </c>
      <c r="J845" s="203">
        <v>0</v>
      </c>
      <c r="K845" s="316">
        <f t="shared" si="288"/>
        <v>11.14</v>
      </c>
      <c r="L845" s="317">
        <f t="shared" si="289"/>
        <v>100.26</v>
      </c>
      <c r="M845" s="318">
        <f t="shared" si="285"/>
        <v>3.630868260000254E-6</v>
      </c>
    </row>
    <row r="846" spans="2:13" s="313" customFormat="1" ht="36" x14ac:dyDescent="0.2">
      <c r="B846" s="314" t="s">
        <v>2087</v>
      </c>
      <c r="C846" s="315" t="str">
        <f>VLOOKUP(D846,Fontes!$A$6:$H$11629,8,FALSE)</f>
        <v>SINAPI / RJ</v>
      </c>
      <c r="D846" s="315">
        <v>99817</v>
      </c>
      <c r="E846" s="204" t="str">
        <f>VLOOKUP(D846,Fontes!$A$6:$H$11629,2,FALSE)</f>
        <v>Limpeza de lavatório de louça com bancada de pedra, inclusive metais correspondentes. af_04/2019</v>
      </c>
      <c r="F846" s="203">
        <v>18</v>
      </c>
      <c r="G846" s="203" t="str">
        <f>VLOOKUP(D846,Fontes!$A$6:$L$11629,3,FALSE)</f>
        <v>un</v>
      </c>
      <c r="H846" s="203">
        <v>4.7883003952569165</v>
      </c>
      <c r="I846" s="203">
        <v>3.1816996047430828</v>
      </c>
      <c r="J846" s="203">
        <v>0</v>
      </c>
      <c r="K846" s="316">
        <f t="shared" si="288"/>
        <v>7.97</v>
      </c>
      <c r="L846" s="317">
        <f t="shared" si="289"/>
        <v>143.46</v>
      </c>
      <c r="M846" s="318">
        <f t="shared" si="285"/>
        <v>5.1953357328908479E-6</v>
      </c>
    </row>
    <row r="847" spans="2:13" s="313" customFormat="1" ht="36" x14ac:dyDescent="0.2">
      <c r="B847" s="314" t="s">
        <v>2088</v>
      </c>
      <c r="C847" s="315" t="str">
        <f>VLOOKUP(D847,Fontes!$A$6:$H$11629,8,FALSE)</f>
        <v>SINAPI / RJ</v>
      </c>
      <c r="D847" s="315">
        <v>99818</v>
      </c>
      <c r="E847" s="204" t="str">
        <f>VLOOKUP(D847,Fontes!$A$6:$H$11629,2,FALSE)</f>
        <v>Limpeza de bacia sanitária, bidê ou mictório em louça, inclusive metais correspondentes</v>
      </c>
      <c r="F847" s="203">
        <v>27</v>
      </c>
      <c r="G847" s="203" t="str">
        <f>VLOOKUP(D847,Fontes!$A$6:$L$11629,3,FALSE)</f>
        <v>un</v>
      </c>
      <c r="H847" s="203">
        <v>4.1154150197628452</v>
      </c>
      <c r="I847" s="203">
        <v>2.734584980237154</v>
      </c>
      <c r="J847" s="203">
        <v>0</v>
      </c>
      <c r="K847" s="316">
        <f t="shared" si="288"/>
        <v>6.85</v>
      </c>
      <c r="L847" s="317">
        <f t="shared" si="289"/>
        <v>184.95</v>
      </c>
      <c r="M847" s="318">
        <f t="shared" si="285"/>
        <v>6.6978763683128555E-6</v>
      </c>
    </row>
    <row r="848" spans="2:13" s="313" customFormat="1" ht="18" x14ac:dyDescent="0.2">
      <c r="B848" s="314" t="s">
        <v>2089</v>
      </c>
      <c r="C848" s="315" t="str">
        <f>VLOOKUP(D848,Fontes!$A$6:$H$11629,8,FALSE)</f>
        <v>SINAPI / RJ</v>
      </c>
      <c r="D848" s="315">
        <v>99821</v>
      </c>
      <c r="E848" s="204" t="str">
        <f>VLOOKUP(D848,Fontes!$A$6:$H$11629,2,FALSE)</f>
        <v>Limpeza de janela de vidro com caixilho em aço/alumínio/pvc</v>
      </c>
      <c r="F848" s="203">
        <v>979</v>
      </c>
      <c r="G848" s="203" t="str">
        <f>VLOOKUP(D848,Fontes!$A$6:$L$11629,3,FALSE)</f>
        <v>m2</v>
      </c>
      <c r="H848" s="203">
        <v>3.1471812080536914</v>
      </c>
      <c r="I848" s="203">
        <v>3.2328187919463085</v>
      </c>
      <c r="J848" s="203">
        <v>0</v>
      </c>
      <c r="K848" s="316">
        <f t="shared" si="288"/>
        <v>6.38</v>
      </c>
      <c r="L848" s="317">
        <f t="shared" si="289"/>
        <v>6246.02</v>
      </c>
      <c r="M848" s="318">
        <f t="shared" si="285"/>
        <v>2.2619664641259512E-4</v>
      </c>
    </row>
    <row r="849" spans="2:13" s="109" customFormat="1" ht="18" x14ac:dyDescent="0.2">
      <c r="B849" s="114"/>
      <c r="C849" s="115"/>
      <c r="D849" s="115"/>
      <c r="E849" s="116"/>
      <c r="F849" s="117"/>
      <c r="G849" s="117"/>
      <c r="H849" s="117"/>
      <c r="I849" s="117"/>
      <c r="J849" s="117"/>
      <c r="K849" s="118"/>
      <c r="L849" s="119"/>
      <c r="M849" s="120"/>
    </row>
    <row r="850" spans="2:13" s="109" customFormat="1" ht="18" x14ac:dyDescent="0.2">
      <c r="B850" s="114"/>
      <c r="C850" s="115"/>
      <c r="D850" s="115"/>
      <c r="E850" s="116"/>
      <c r="F850" s="117"/>
      <c r="G850" s="117"/>
      <c r="H850" s="117"/>
      <c r="I850" s="117"/>
      <c r="J850" s="117"/>
      <c r="K850" s="118"/>
      <c r="L850" s="119"/>
      <c r="M850" s="120"/>
    </row>
    <row r="851" spans="2:13" s="226" customFormat="1" ht="30" customHeight="1" x14ac:dyDescent="0.2">
      <c r="B851" s="400" t="s">
        <v>1066</v>
      </c>
      <c r="C851" s="401"/>
      <c r="D851" s="401"/>
      <c r="E851" s="401"/>
      <c r="F851" s="401"/>
      <c r="G851" s="401"/>
      <c r="H851" s="401"/>
      <c r="I851" s="401"/>
      <c r="J851" s="401"/>
      <c r="K851" s="402"/>
      <c r="L851" s="224">
        <f>SUBTOTAL(9,L9:L849)</f>
        <v>27613229.900000006</v>
      </c>
      <c r="M851" s="225"/>
    </row>
    <row r="852" spans="2:13" s="226" customFormat="1" ht="20.25" x14ac:dyDescent="0.2">
      <c r="B852" s="227"/>
      <c r="C852" s="228"/>
      <c r="D852" s="228"/>
      <c r="E852" s="229"/>
      <c r="F852" s="230"/>
      <c r="G852" s="230"/>
      <c r="H852" s="230"/>
      <c r="I852" s="230"/>
      <c r="J852" s="230"/>
      <c r="K852" s="231"/>
      <c r="L852" s="232"/>
      <c r="M852" s="233"/>
    </row>
    <row r="853" spans="2:13" s="226" customFormat="1" ht="30" customHeight="1" x14ac:dyDescent="0.2">
      <c r="B853" s="415" t="s">
        <v>2115</v>
      </c>
      <c r="C853" s="416"/>
      <c r="D853" s="416"/>
      <c r="E853" s="416"/>
      <c r="F853" s="369">
        <v>0.29780000000000001</v>
      </c>
      <c r="G853" s="367"/>
      <c r="H853" s="367"/>
      <c r="I853" s="367"/>
      <c r="J853" s="367"/>
      <c r="K853" s="368"/>
      <c r="L853" s="224">
        <f>L851*F853</f>
        <v>8223219.8642200017</v>
      </c>
      <c r="M853" s="225"/>
    </row>
    <row r="854" spans="2:13" s="226" customFormat="1" ht="20.25" x14ac:dyDescent="0.2">
      <c r="B854" s="227"/>
      <c r="C854" s="228"/>
      <c r="D854" s="228"/>
      <c r="E854" s="229"/>
      <c r="F854" s="230"/>
      <c r="G854" s="230"/>
      <c r="H854" s="230"/>
      <c r="I854" s="230"/>
      <c r="J854" s="230"/>
      <c r="K854" s="231"/>
      <c r="L854" s="232"/>
      <c r="M854" s="233"/>
    </row>
    <row r="855" spans="2:13" s="226" customFormat="1" ht="30" customHeight="1" x14ac:dyDescent="0.2">
      <c r="B855" s="403" t="s">
        <v>1067</v>
      </c>
      <c r="C855" s="404"/>
      <c r="D855" s="404"/>
      <c r="E855" s="404"/>
      <c r="F855" s="404"/>
      <c r="G855" s="404"/>
      <c r="H855" s="404"/>
      <c r="I855" s="404"/>
      <c r="J855" s="404"/>
      <c r="K855" s="405"/>
      <c r="L855" s="381">
        <f>SUM(L851,L853)</f>
        <v>35836449.764220007</v>
      </c>
      <c r="M855" s="382"/>
    </row>
    <row r="856" spans="2:13" s="109" customFormat="1" ht="18" x14ac:dyDescent="0.2">
      <c r="B856" s="417"/>
      <c r="C856" s="418"/>
      <c r="D856" s="418"/>
      <c r="E856" s="418"/>
      <c r="F856" s="418"/>
      <c r="G856" s="418"/>
      <c r="H856" s="418"/>
      <c r="I856" s="418"/>
      <c r="J856" s="418"/>
      <c r="K856" s="418"/>
      <c r="L856" s="418"/>
      <c r="M856" s="419"/>
    </row>
    <row r="857" spans="2:13" s="109" customFormat="1" ht="18" x14ac:dyDescent="0.2">
      <c r="B857" s="420" t="s">
        <v>2328</v>
      </c>
      <c r="C857" s="421"/>
      <c r="D857" s="421"/>
      <c r="E857" s="421"/>
      <c r="F857" s="421"/>
      <c r="G857" s="421"/>
      <c r="H857" s="421"/>
      <c r="I857" s="421"/>
      <c r="J857" s="421"/>
      <c r="K857" s="421"/>
      <c r="L857" s="421"/>
      <c r="M857" s="422"/>
    </row>
    <row r="858" spans="2:13" s="109" customFormat="1" ht="8.25" customHeight="1" x14ac:dyDescent="0.2">
      <c r="B858" s="420"/>
      <c r="C858" s="421"/>
      <c r="D858" s="421"/>
      <c r="E858" s="421"/>
      <c r="F858" s="421"/>
      <c r="G858" s="421"/>
      <c r="H858" s="421"/>
      <c r="I858" s="421"/>
      <c r="J858" s="421"/>
      <c r="K858" s="421"/>
      <c r="L858" s="421"/>
      <c r="M858" s="422"/>
    </row>
    <row r="859" spans="2:13" s="109" customFormat="1" ht="18" x14ac:dyDescent="0.2">
      <c r="B859" s="420" t="s">
        <v>2329</v>
      </c>
      <c r="C859" s="421"/>
      <c r="D859" s="421"/>
      <c r="E859" s="421"/>
      <c r="F859" s="421"/>
      <c r="G859" s="421"/>
      <c r="H859" s="421"/>
      <c r="I859" s="421"/>
      <c r="J859" s="421"/>
      <c r="K859" s="421"/>
      <c r="L859" s="421"/>
      <c r="M859" s="422"/>
    </row>
    <row r="860" spans="2:13" s="109" customFormat="1" ht="18" x14ac:dyDescent="0.2">
      <c r="B860" s="420" t="s">
        <v>2330</v>
      </c>
      <c r="C860" s="421"/>
      <c r="D860" s="421"/>
      <c r="E860" s="421"/>
      <c r="F860" s="421"/>
      <c r="G860" s="421"/>
      <c r="H860" s="421"/>
      <c r="I860" s="421"/>
      <c r="J860" s="421"/>
      <c r="K860" s="421"/>
      <c r="L860" s="421"/>
      <c r="M860" s="422"/>
    </row>
    <row r="861" spans="2:13" s="109" customFormat="1" ht="18" x14ac:dyDescent="0.2">
      <c r="B861" s="420" t="s">
        <v>2358</v>
      </c>
      <c r="C861" s="421"/>
      <c r="D861" s="421"/>
      <c r="E861" s="421"/>
      <c r="F861" s="421"/>
      <c r="G861" s="421"/>
      <c r="H861" s="421"/>
      <c r="I861" s="421"/>
      <c r="J861" s="421"/>
      <c r="K861" s="421"/>
      <c r="L861" s="421"/>
      <c r="M861" s="422"/>
    </row>
    <row r="862" spans="2:13" s="109" customFormat="1" ht="18.75" thickBot="1" x14ac:dyDescent="0.25">
      <c r="B862" s="397"/>
      <c r="C862" s="398"/>
      <c r="D862" s="398"/>
      <c r="E862" s="398"/>
      <c r="F862" s="398"/>
      <c r="G862" s="398"/>
      <c r="H862" s="398"/>
      <c r="I862" s="398"/>
      <c r="J862" s="398"/>
      <c r="K862" s="398"/>
      <c r="L862" s="398"/>
      <c r="M862" s="399"/>
    </row>
    <row r="864" spans="2:13" ht="42.75" customHeight="1" x14ac:dyDescent="0.2">
      <c r="L864" s="370"/>
    </row>
    <row r="866" spans="12:12" x14ac:dyDescent="0.2">
      <c r="L866" s="370"/>
    </row>
    <row r="931" spans="2:13" s="132" customFormat="1" ht="14.25" x14ac:dyDescent="0.2">
      <c r="B931" s="101"/>
      <c r="C931" s="101"/>
      <c r="D931" s="101"/>
      <c r="E931" s="102"/>
      <c r="F931" s="102"/>
      <c r="G931" s="103"/>
      <c r="H931" s="104"/>
      <c r="I931" s="105"/>
      <c r="J931" s="104"/>
      <c r="K931" s="104"/>
      <c r="L931" s="101"/>
      <c r="M931" s="106"/>
    </row>
    <row r="943" spans="2:13" s="133" customFormat="1" ht="14.25" x14ac:dyDescent="0.2">
      <c r="B943" s="101"/>
      <c r="C943" s="101"/>
      <c r="D943" s="101"/>
      <c r="E943" s="102"/>
      <c r="F943" s="102"/>
      <c r="G943" s="103"/>
      <c r="H943" s="104"/>
      <c r="I943" s="105"/>
      <c r="J943" s="104"/>
      <c r="K943" s="104"/>
      <c r="L943" s="101"/>
      <c r="M943" s="106"/>
    </row>
    <row r="944" spans="2:13" s="133" customFormat="1" ht="14.25" x14ac:dyDescent="0.2">
      <c r="B944" s="101"/>
      <c r="C944" s="101"/>
      <c r="D944" s="101"/>
      <c r="E944" s="102"/>
      <c r="F944" s="102"/>
      <c r="G944" s="103"/>
      <c r="H944" s="104"/>
      <c r="I944" s="105"/>
      <c r="J944" s="104"/>
      <c r="K944" s="104"/>
      <c r="L944" s="101"/>
      <c r="M944" s="106"/>
    </row>
    <row r="945" spans="2:13" s="133" customFormat="1" ht="14.25" x14ac:dyDescent="0.2">
      <c r="B945" s="101"/>
      <c r="C945" s="101"/>
      <c r="D945" s="101"/>
      <c r="E945" s="102"/>
      <c r="F945" s="102"/>
      <c r="G945" s="103"/>
      <c r="H945" s="104"/>
      <c r="I945" s="105"/>
      <c r="J945" s="104"/>
      <c r="K945" s="104"/>
      <c r="L945" s="101"/>
      <c r="M945" s="106"/>
    </row>
    <row r="946" spans="2:13" s="133" customFormat="1" ht="14.25" x14ac:dyDescent="0.2">
      <c r="B946" s="101"/>
      <c r="C946" s="101"/>
      <c r="D946" s="101"/>
      <c r="E946" s="102"/>
      <c r="F946" s="102"/>
      <c r="G946" s="103"/>
      <c r="H946" s="104"/>
      <c r="I946" s="105"/>
      <c r="J946" s="104"/>
      <c r="K946" s="104"/>
      <c r="L946" s="101"/>
      <c r="M946" s="106"/>
    </row>
    <row r="947" spans="2:13" s="133" customFormat="1" ht="14.25" x14ac:dyDescent="0.2">
      <c r="B947" s="101"/>
      <c r="C947" s="101"/>
      <c r="D947" s="101"/>
      <c r="E947" s="102"/>
      <c r="F947" s="102"/>
      <c r="G947" s="103"/>
      <c r="H947" s="104"/>
      <c r="I947" s="105"/>
      <c r="J947" s="104"/>
      <c r="K947" s="104"/>
      <c r="L947" s="101"/>
      <c r="M947" s="106"/>
    </row>
    <row r="948" spans="2:13" s="133" customFormat="1" ht="14.25" x14ac:dyDescent="0.2">
      <c r="B948" s="101"/>
      <c r="C948" s="101"/>
      <c r="D948" s="101"/>
      <c r="E948" s="102"/>
      <c r="F948" s="102"/>
      <c r="G948" s="103"/>
      <c r="H948" s="104"/>
      <c r="I948" s="105"/>
      <c r="J948" s="104"/>
      <c r="K948" s="104"/>
      <c r="L948" s="101"/>
      <c r="M948" s="106"/>
    </row>
    <row r="949" spans="2:13" s="133" customFormat="1" ht="14.25" x14ac:dyDescent="0.2">
      <c r="B949" s="101"/>
      <c r="C949" s="101"/>
      <c r="D949" s="101"/>
      <c r="E949" s="102"/>
      <c r="F949" s="102"/>
      <c r="G949" s="103"/>
      <c r="H949" s="104"/>
      <c r="I949" s="105"/>
      <c r="J949" s="104"/>
      <c r="K949" s="104"/>
      <c r="L949" s="101"/>
      <c r="M949" s="106"/>
    </row>
    <row r="950" spans="2:13" s="133" customFormat="1" ht="14.25" x14ac:dyDescent="0.2">
      <c r="B950" s="101"/>
      <c r="C950" s="101"/>
      <c r="D950" s="101"/>
      <c r="E950" s="102"/>
      <c r="F950" s="102"/>
      <c r="G950" s="103"/>
      <c r="H950" s="104"/>
      <c r="I950" s="105"/>
      <c r="J950" s="104"/>
      <c r="K950" s="104"/>
      <c r="L950" s="101"/>
      <c r="M950" s="106"/>
    </row>
    <row r="951" spans="2:13" s="133" customFormat="1" ht="14.25" x14ac:dyDescent="0.2">
      <c r="B951" s="101"/>
      <c r="C951" s="101"/>
      <c r="D951" s="101"/>
      <c r="E951" s="102"/>
      <c r="F951" s="102"/>
      <c r="G951" s="103"/>
      <c r="H951" s="104"/>
      <c r="I951" s="105"/>
      <c r="J951" s="104"/>
      <c r="K951" s="104"/>
      <c r="L951" s="101"/>
      <c r="M951" s="106"/>
    </row>
    <row r="952" spans="2:13" s="133" customFormat="1" ht="14.25" x14ac:dyDescent="0.2">
      <c r="B952" s="101"/>
      <c r="C952" s="101"/>
      <c r="D952" s="101"/>
      <c r="E952" s="102"/>
      <c r="F952" s="102"/>
      <c r="G952" s="103"/>
      <c r="H952" s="104"/>
      <c r="I952" s="105"/>
      <c r="J952" s="104"/>
      <c r="K952" s="104"/>
      <c r="L952" s="101"/>
      <c r="M952" s="106"/>
    </row>
    <row r="953" spans="2:13" s="133" customFormat="1" ht="14.25" x14ac:dyDescent="0.2">
      <c r="B953" s="101"/>
      <c r="C953" s="101"/>
      <c r="D953" s="101"/>
      <c r="E953" s="102"/>
      <c r="F953" s="102"/>
      <c r="G953" s="103"/>
      <c r="H953" s="104"/>
      <c r="I953" s="105"/>
      <c r="J953" s="104"/>
      <c r="K953" s="104"/>
      <c r="L953" s="101"/>
      <c r="M953" s="106"/>
    </row>
    <row r="954" spans="2:13" s="133" customFormat="1" ht="14.25" x14ac:dyDescent="0.2">
      <c r="B954" s="101"/>
      <c r="C954" s="101"/>
      <c r="D954" s="101"/>
      <c r="E954" s="102"/>
      <c r="F954" s="102"/>
      <c r="G954" s="103"/>
      <c r="H954" s="104"/>
      <c r="I954" s="105"/>
      <c r="J954" s="104"/>
      <c r="K954" s="104"/>
      <c r="L954" s="101"/>
      <c r="M954" s="106"/>
    </row>
    <row r="955" spans="2:13" s="133" customFormat="1" ht="14.25" x14ac:dyDescent="0.2">
      <c r="B955" s="101"/>
      <c r="C955" s="101"/>
      <c r="D955" s="101"/>
      <c r="E955" s="102"/>
      <c r="F955" s="102"/>
      <c r="G955" s="103"/>
      <c r="H955" s="104"/>
      <c r="I955" s="105"/>
      <c r="J955" s="104"/>
      <c r="K955" s="104"/>
      <c r="L955" s="101"/>
      <c r="M955" s="106"/>
    </row>
    <row r="956" spans="2:13" s="132" customFormat="1" ht="14.25" x14ac:dyDescent="0.2">
      <c r="B956" s="101"/>
      <c r="C956" s="101"/>
      <c r="D956" s="101"/>
      <c r="E956" s="102"/>
      <c r="F956" s="102"/>
      <c r="G956" s="103"/>
      <c r="H956" s="104"/>
      <c r="I956" s="105"/>
      <c r="J956" s="104"/>
      <c r="K956" s="104"/>
      <c r="L956" s="101"/>
      <c r="M956" s="106"/>
    </row>
    <row r="957" spans="2:13" s="133" customFormat="1" ht="14.25" x14ac:dyDescent="0.2">
      <c r="B957" s="101"/>
      <c r="C957" s="101"/>
      <c r="D957" s="101"/>
      <c r="E957" s="102"/>
      <c r="F957" s="102"/>
      <c r="G957" s="103"/>
      <c r="H957" s="104"/>
      <c r="I957" s="105"/>
      <c r="J957" s="104"/>
      <c r="K957" s="104"/>
      <c r="L957" s="101"/>
      <c r="M957" s="106"/>
    </row>
    <row r="958" spans="2:13" s="133" customFormat="1" ht="14.25" x14ac:dyDescent="0.2">
      <c r="B958" s="101"/>
      <c r="C958" s="101"/>
      <c r="D958" s="101"/>
      <c r="E958" s="102"/>
      <c r="F958" s="102"/>
      <c r="G958" s="103"/>
      <c r="H958" s="104"/>
      <c r="I958" s="105"/>
      <c r="J958" s="104"/>
      <c r="K958" s="104"/>
      <c r="L958" s="101"/>
      <c r="M958" s="106"/>
    </row>
    <row r="959" spans="2:13" s="132" customFormat="1" ht="14.25" x14ac:dyDescent="0.2">
      <c r="B959" s="101"/>
      <c r="C959" s="101"/>
      <c r="D959" s="101"/>
      <c r="E959" s="102"/>
      <c r="F959" s="102"/>
      <c r="G959" s="103"/>
      <c r="H959" s="104"/>
      <c r="I959" s="105"/>
      <c r="J959" s="104"/>
      <c r="K959" s="104"/>
      <c r="L959" s="101"/>
      <c r="M959" s="106"/>
    </row>
    <row r="960" spans="2:13" s="132" customFormat="1" ht="14.25" x14ac:dyDescent="0.2">
      <c r="B960" s="101"/>
      <c r="C960" s="101"/>
      <c r="D960" s="101"/>
      <c r="E960" s="102"/>
      <c r="F960" s="102"/>
      <c r="G960" s="103"/>
      <c r="H960" s="104"/>
      <c r="I960" s="105"/>
      <c r="J960" s="104"/>
      <c r="K960" s="104"/>
      <c r="L960" s="101"/>
      <c r="M960" s="106"/>
    </row>
    <row r="961" spans="2:13" s="133" customFormat="1" ht="14.25" x14ac:dyDescent="0.2">
      <c r="B961" s="101"/>
      <c r="C961" s="101"/>
      <c r="D961" s="101"/>
      <c r="E961" s="102"/>
      <c r="F961" s="102"/>
      <c r="G961" s="103"/>
      <c r="H961" s="104"/>
      <c r="I961" s="105"/>
      <c r="J961" s="104"/>
      <c r="K961" s="104"/>
      <c r="L961" s="101"/>
      <c r="M961" s="106"/>
    </row>
    <row r="962" spans="2:13" s="132" customFormat="1" ht="14.25" x14ac:dyDescent="0.2">
      <c r="B962" s="101"/>
      <c r="C962" s="101"/>
      <c r="D962" s="101"/>
      <c r="E962" s="102"/>
      <c r="F962" s="102"/>
      <c r="G962" s="103"/>
      <c r="H962" s="104"/>
      <c r="I962" s="105"/>
      <c r="J962" s="104"/>
      <c r="K962" s="104"/>
      <c r="L962" s="101"/>
      <c r="M962" s="106"/>
    </row>
    <row r="963" spans="2:13" s="132" customFormat="1" ht="14.25" x14ac:dyDescent="0.2">
      <c r="B963" s="101"/>
      <c r="C963" s="101"/>
      <c r="D963" s="101"/>
      <c r="E963" s="102"/>
      <c r="F963" s="102"/>
      <c r="G963" s="103"/>
      <c r="H963" s="104"/>
      <c r="I963" s="105"/>
      <c r="J963" s="104"/>
      <c r="K963" s="104"/>
      <c r="L963" s="101"/>
      <c r="M963" s="106"/>
    </row>
    <row r="964" spans="2:13" s="132" customFormat="1" ht="14.25" x14ac:dyDescent="0.2">
      <c r="B964" s="101"/>
      <c r="C964" s="101"/>
      <c r="D964" s="101"/>
      <c r="E964" s="102"/>
      <c r="F964" s="102"/>
      <c r="G964" s="103"/>
      <c r="H964" s="104"/>
      <c r="I964" s="105"/>
      <c r="J964" s="104"/>
      <c r="K964" s="104"/>
      <c r="L964" s="101"/>
      <c r="M964" s="106"/>
    </row>
    <row r="970" spans="2:13" s="132" customFormat="1" ht="14.25" x14ac:dyDescent="0.2">
      <c r="B970" s="101"/>
      <c r="C970" s="101"/>
      <c r="D970" s="101"/>
      <c r="E970" s="102"/>
      <c r="F970" s="102"/>
      <c r="G970" s="103"/>
      <c r="H970" s="104"/>
      <c r="I970" s="105"/>
      <c r="J970" s="104"/>
      <c r="K970" s="104"/>
      <c r="L970" s="101"/>
      <c r="M970" s="106"/>
    </row>
    <row r="971" spans="2:13" s="132" customFormat="1" ht="14.25" x14ac:dyDescent="0.2">
      <c r="B971" s="101"/>
      <c r="C971" s="101"/>
      <c r="D971" s="101"/>
      <c r="E971" s="102"/>
      <c r="F971" s="102"/>
      <c r="G971" s="103"/>
      <c r="H971" s="104"/>
      <c r="I971" s="105"/>
      <c r="J971" s="104"/>
      <c r="K971" s="104"/>
      <c r="L971" s="101"/>
      <c r="M971" s="106"/>
    </row>
    <row r="972" spans="2:13" s="133" customFormat="1" ht="14.25" x14ac:dyDescent="0.2">
      <c r="B972" s="101"/>
      <c r="C972" s="101"/>
      <c r="D972" s="101"/>
      <c r="E972" s="102"/>
      <c r="F972" s="102"/>
      <c r="G972" s="103"/>
      <c r="H972" s="104"/>
      <c r="I972" s="105"/>
      <c r="J972" s="104"/>
      <c r="K972" s="104"/>
      <c r="L972" s="101"/>
      <c r="M972" s="106"/>
    </row>
    <row r="973" spans="2:13" s="132" customFormat="1" ht="14.25" x14ac:dyDescent="0.2">
      <c r="B973" s="101"/>
      <c r="C973" s="101"/>
      <c r="D973" s="101"/>
      <c r="E973" s="102"/>
      <c r="F973" s="102"/>
      <c r="G973" s="103"/>
      <c r="H973" s="104"/>
      <c r="I973" s="105"/>
      <c r="J973" s="104"/>
      <c r="K973" s="104"/>
      <c r="L973" s="101"/>
      <c r="M973" s="106"/>
    </row>
    <row r="974" spans="2:13" s="133" customFormat="1" ht="14.25" x14ac:dyDescent="0.2">
      <c r="B974" s="101"/>
      <c r="C974" s="101"/>
      <c r="D974" s="101"/>
      <c r="E974" s="102"/>
      <c r="F974" s="102"/>
      <c r="G974" s="103"/>
      <c r="H974" s="104"/>
      <c r="I974" s="105"/>
      <c r="J974" s="104"/>
      <c r="K974" s="104"/>
      <c r="L974" s="101"/>
      <c r="M974" s="106"/>
    </row>
    <row r="975" spans="2:13" s="132" customFormat="1" ht="14.25" x14ac:dyDescent="0.2">
      <c r="B975" s="101"/>
      <c r="C975" s="101"/>
      <c r="D975" s="101"/>
      <c r="E975" s="102"/>
      <c r="F975" s="102"/>
      <c r="G975" s="103"/>
      <c r="H975" s="104"/>
      <c r="I975" s="105"/>
      <c r="J975" s="104"/>
      <c r="K975" s="104"/>
      <c r="L975" s="101"/>
      <c r="M975" s="106"/>
    </row>
    <row r="976" spans="2:13" s="133" customFormat="1" ht="14.25" x14ac:dyDescent="0.2">
      <c r="B976" s="101"/>
      <c r="C976" s="101"/>
      <c r="D976" s="101"/>
      <c r="E976" s="102"/>
      <c r="F976" s="102"/>
      <c r="G976" s="103"/>
      <c r="H976" s="104"/>
      <c r="I976" s="105"/>
      <c r="J976" s="104"/>
      <c r="K976" s="104"/>
      <c r="L976" s="101"/>
      <c r="M976" s="106"/>
    </row>
    <row r="977" spans="2:13" s="132" customFormat="1" ht="14.25" x14ac:dyDescent="0.2">
      <c r="B977" s="101"/>
      <c r="C977" s="101"/>
      <c r="D977" s="101"/>
      <c r="E977" s="102"/>
      <c r="F977" s="102"/>
      <c r="G977" s="103"/>
      <c r="H977" s="104"/>
      <c r="I977" s="105"/>
      <c r="J977" s="104"/>
      <c r="K977" s="104"/>
      <c r="L977" s="101"/>
      <c r="M977" s="106"/>
    </row>
    <row r="978" spans="2:13" s="132" customFormat="1" ht="14.25" x14ac:dyDescent="0.2">
      <c r="B978" s="101"/>
      <c r="C978" s="101"/>
      <c r="D978" s="101"/>
      <c r="E978" s="102"/>
      <c r="F978" s="102"/>
      <c r="G978" s="103"/>
      <c r="H978" s="104"/>
      <c r="I978" s="105"/>
      <c r="J978" s="104"/>
      <c r="K978" s="104"/>
      <c r="L978" s="101"/>
      <c r="M978" s="106"/>
    </row>
    <row r="979" spans="2:13" s="133" customFormat="1" ht="14.25" x14ac:dyDescent="0.2">
      <c r="B979" s="101"/>
      <c r="C979" s="101"/>
      <c r="D979" s="101"/>
      <c r="E979" s="102"/>
      <c r="F979" s="102"/>
      <c r="G979" s="103"/>
      <c r="H979" s="104"/>
      <c r="I979" s="105"/>
      <c r="J979" s="104"/>
      <c r="K979" s="104"/>
      <c r="L979" s="101"/>
      <c r="M979" s="106"/>
    </row>
    <row r="980" spans="2:13" s="133" customFormat="1" ht="14.25" x14ac:dyDescent="0.2">
      <c r="B980" s="101"/>
      <c r="C980" s="101"/>
      <c r="D980" s="101"/>
      <c r="E980" s="102"/>
      <c r="F980" s="102"/>
      <c r="G980" s="103"/>
      <c r="H980" s="104"/>
      <c r="I980" s="105"/>
      <c r="J980" s="104"/>
      <c r="K980" s="104"/>
      <c r="L980" s="101"/>
      <c r="M980" s="106"/>
    </row>
    <row r="981" spans="2:13" s="132" customFormat="1" ht="14.25" x14ac:dyDescent="0.2">
      <c r="B981" s="101"/>
      <c r="C981" s="101"/>
      <c r="D981" s="101"/>
      <c r="E981" s="102"/>
      <c r="F981" s="102"/>
      <c r="G981" s="103"/>
      <c r="H981" s="104"/>
      <c r="I981" s="105"/>
      <c r="J981" s="104"/>
      <c r="K981" s="104"/>
      <c r="L981" s="101"/>
      <c r="M981" s="106"/>
    </row>
    <row r="982" spans="2:13" s="132" customFormat="1" ht="14.25" x14ac:dyDescent="0.2">
      <c r="B982" s="101"/>
      <c r="C982" s="101"/>
      <c r="D982" s="101"/>
      <c r="E982" s="102"/>
      <c r="F982" s="102"/>
      <c r="G982" s="103"/>
      <c r="H982" s="104"/>
      <c r="I982" s="105"/>
      <c r="J982" s="104"/>
      <c r="K982" s="104"/>
      <c r="L982" s="101"/>
      <c r="M982" s="106"/>
    </row>
    <row r="983" spans="2:13" s="132" customFormat="1" ht="14.25" x14ac:dyDescent="0.2">
      <c r="B983" s="101"/>
      <c r="C983" s="101"/>
      <c r="D983" s="101"/>
      <c r="E983" s="102"/>
      <c r="F983" s="102"/>
      <c r="G983" s="103"/>
      <c r="H983" s="104"/>
      <c r="I983" s="105"/>
      <c r="J983" s="104"/>
      <c r="K983" s="104"/>
      <c r="L983" s="101"/>
      <c r="M983" s="106"/>
    </row>
    <row r="985" spans="2:13" s="132" customFormat="1" ht="14.25" x14ac:dyDescent="0.2">
      <c r="B985" s="101"/>
      <c r="C985" s="101"/>
      <c r="D985" s="101"/>
      <c r="E985" s="102"/>
      <c r="F985" s="102"/>
      <c r="G985" s="103"/>
      <c r="H985" s="104"/>
      <c r="I985" s="105"/>
      <c r="J985" s="104"/>
      <c r="K985" s="104"/>
      <c r="L985" s="101"/>
      <c r="M985" s="106"/>
    </row>
    <row r="986" spans="2:13" s="132" customFormat="1" ht="14.25" x14ac:dyDescent="0.2">
      <c r="B986" s="101"/>
      <c r="C986" s="101"/>
      <c r="D986" s="101"/>
      <c r="E986" s="102"/>
      <c r="F986" s="102"/>
      <c r="G986" s="103"/>
      <c r="H986" s="104"/>
      <c r="I986" s="105"/>
      <c r="J986" s="104"/>
      <c r="K986" s="104"/>
      <c r="L986" s="101"/>
      <c r="M986" s="106"/>
    </row>
    <row r="987" spans="2:13" s="132" customFormat="1" ht="14.25" x14ac:dyDescent="0.2">
      <c r="B987" s="101"/>
      <c r="C987" s="101"/>
      <c r="D987" s="101"/>
      <c r="E987" s="102"/>
      <c r="F987" s="102"/>
      <c r="G987" s="103"/>
      <c r="H987" s="104"/>
      <c r="I987" s="105"/>
      <c r="J987" s="104"/>
      <c r="K987" s="104"/>
      <c r="L987" s="101"/>
      <c r="M987" s="106"/>
    </row>
    <row r="988" spans="2:13" s="132" customFormat="1" ht="14.25" x14ac:dyDescent="0.2">
      <c r="B988" s="101"/>
      <c r="C988" s="101"/>
      <c r="D988" s="101"/>
      <c r="E988" s="102"/>
      <c r="F988" s="102"/>
      <c r="G988" s="103"/>
      <c r="H988" s="104"/>
      <c r="I988" s="105"/>
      <c r="J988" s="104"/>
      <c r="K988" s="104"/>
      <c r="L988" s="101"/>
      <c r="M988" s="106"/>
    </row>
    <row r="989" spans="2:13" s="134" customFormat="1" x14ac:dyDescent="0.2">
      <c r="B989" s="101"/>
      <c r="C989" s="101"/>
      <c r="D989" s="101"/>
      <c r="E989" s="102"/>
      <c r="F989" s="102"/>
      <c r="G989" s="103"/>
      <c r="H989" s="104"/>
      <c r="I989" s="105"/>
      <c r="J989" s="104"/>
      <c r="K989" s="104"/>
      <c r="L989" s="101"/>
      <c r="M989" s="106"/>
    </row>
    <row r="990" spans="2:13" s="132" customFormat="1" ht="14.25" x14ac:dyDescent="0.2">
      <c r="B990" s="101"/>
      <c r="C990" s="101"/>
      <c r="D990" s="101"/>
      <c r="E990" s="102"/>
      <c r="F990" s="102"/>
      <c r="G990" s="103"/>
      <c r="H990" s="104"/>
      <c r="I990" s="105"/>
      <c r="J990" s="104"/>
      <c r="K990" s="104"/>
      <c r="L990" s="101"/>
      <c r="M990" s="106"/>
    </row>
    <row r="991" spans="2:13" s="134" customFormat="1" x14ac:dyDescent="0.2">
      <c r="B991" s="101"/>
      <c r="C991" s="101"/>
      <c r="D991" s="101"/>
      <c r="E991" s="102"/>
      <c r="F991" s="102"/>
      <c r="G991" s="103"/>
      <c r="H991" s="104"/>
      <c r="I991" s="105"/>
      <c r="J991" s="104"/>
      <c r="K991" s="104"/>
      <c r="L991" s="101"/>
      <c r="M991" s="106"/>
    </row>
    <row r="992" spans="2:13" s="134" customFormat="1" x14ac:dyDescent="0.2">
      <c r="B992" s="101"/>
      <c r="C992" s="101"/>
      <c r="D992" s="101"/>
      <c r="E992" s="102"/>
      <c r="F992" s="102"/>
      <c r="G992" s="103"/>
      <c r="H992" s="104"/>
      <c r="I992" s="105"/>
      <c r="J992" s="104"/>
      <c r="K992" s="104"/>
      <c r="L992" s="101"/>
      <c r="M992" s="106"/>
    </row>
    <row r="993" spans="2:13" s="132" customFormat="1" ht="14.25" x14ac:dyDescent="0.2">
      <c r="B993" s="101"/>
      <c r="C993" s="101"/>
      <c r="D993" s="101"/>
      <c r="E993" s="102"/>
      <c r="F993" s="102"/>
      <c r="G993" s="103"/>
      <c r="H993" s="104"/>
      <c r="I993" s="105"/>
      <c r="J993" s="104"/>
      <c r="K993" s="104"/>
      <c r="L993" s="101"/>
      <c r="M993" s="106"/>
    </row>
    <row r="994" spans="2:13" s="134" customFormat="1" x14ac:dyDescent="0.2">
      <c r="B994" s="101"/>
      <c r="C994" s="101"/>
      <c r="D994" s="101"/>
      <c r="E994" s="102"/>
      <c r="F994" s="102"/>
      <c r="G994" s="103"/>
      <c r="H994" s="104"/>
      <c r="I994" s="105"/>
      <c r="J994" s="104"/>
      <c r="K994" s="104"/>
      <c r="L994" s="101"/>
      <c r="M994" s="106"/>
    </row>
    <row r="995" spans="2:13" s="134" customFormat="1" x14ac:dyDescent="0.2">
      <c r="B995" s="101"/>
      <c r="C995" s="101"/>
      <c r="D995" s="101"/>
      <c r="E995" s="102"/>
      <c r="F995" s="102"/>
      <c r="G995" s="103"/>
      <c r="H995" s="104"/>
      <c r="I995" s="105"/>
      <c r="J995" s="104"/>
      <c r="K995" s="104"/>
      <c r="L995" s="101"/>
      <c r="M995" s="106"/>
    </row>
    <row r="996" spans="2:13" s="132" customFormat="1" ht="14.25" x14ac:dyDescent="0.2">
      <c r="B996" s="101"/>
      <c r="C996" s="101"/>
      <c r="D996" s="101"/>
      <c r="E996" s="102"/>
      <c r="F996" s="102"/>
      <c r="G996" s="103"/>
      <c r="H996" s="104"/>
      <c r="I996" s="105"/>
      <c r="J996" s="104"/>
      <c r="K996" s="104"/>
      <c r="L996" s="101"/>
      <c r="M996" s="106"/>
    </row>
    <row r="1018" spans="2:13" s="134" customFormat="1" x14ac:dyDescent="0.2">
      <c r="B1018" s="101"/>
      <c r="C1018" s="101"/>
      <c r="D1018" s="101"/>
      <c r="E1018" s="102"/>
      <c r="F1018" s="102"/>
      <c r="G1018" s="103"/>
      <c r="H1018" s="104"/>
      <c r="I1018" s="105"/>
      <c r="J1018" s="104"/>
      <c r="K1018" s="104"/>
      <c r="L1018" s="101"/>
      <c r="M1018" s="106"/>
    </row>
  </sheetData>
  <mergeCells count="15">
    <mergeCell ref="B862:M862"/>
    <mergeCell ref="B851:K851"/>
    <mergeCell ref="B855:K855"/>
    <mergeCell ref="B6:M6"/>
    <mergeCell ref="B2:M2"/>
    <mergeCell ref="B3:M3"/>
    <mergeCell ref="B4:M4"/>
    <mergeCell ref="B5:M5"/>
    <mergeCell ref="B853:E853"/>
    <mergeCell ref="B856:M856"/>
    <mergeCell ref="B857:M857"/>
    <mergeCell ref="B858:M858"/>
    <mergeCell ref="B859:M859"/>
    <mergeCell ref="B860:M860"/>
    <mergeCell ref="B861:M861"/>
  </mergeCells>
  <phoneticPr fontId="69" type="noConversion"/>
  <printOptions horizontalCentered="1"/>
  <pageMargins left="0.51181102362204722" right="0.51181102362204722" top="0.59055118110236227" bottom="0.59055118110236227" header="0.31496062992125984" footer="0.31496062992125984"/>
  <pageSetup paperSize="9" scale="45" orientation="landscape" r:id="rId1"/>
  <rowBreaks count="1" manualBreakCount="1">
    <brk id="824"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672"/>
  <sheetViews>
    <sheetView zoomScale="75" zoomScaleNormal="75" workbookViewId="0">
      <selection activeCell="B9" sqref="B9"/>
    </sheetView>
  </sheetViews>
  <sheetFormatPr defaultRowHeight="12.75" x14ac:dyDescent="0.2"/>
  <cols>
    <col min="1" max="1" width="17.28515625" style="91" customWidth="1"/>
    <col min="2" max="2" width="70" style="91" customWidth="1"/>
    <col min="3" max="3" width="8.140625" style="93" customWidth="1"/>
    <col min="4" max="6" width="12.7109375" style="91" customWidth="1"/>
    <col min="7" max="7" width="4.42578125" style="91" customWidth="1"/>
    <col min="8" max="9" width="11.7109375" style="91" customWidth="1"/>
    <col min="10" max="12" width="10.140625" style="91" customWidth="1"/>
    <col min="13" max="13" width="9.140625" style="91" customWidth="1"/>
    <col min="14" max="251" width="9.140625" style="91"/>
    <col min="252" max="252" width="21.140625" style="91" customWidth="1"/>
    <col min="253" max="253" width="37" style="91" customWidth="1"/>
    <col min="254" max="254" width="8.140625" style="91" customWidth="1"/>
    <col min="255" max="255" width="16.7109375" style="91" customWidth="1"/>
    <col min="256" max="259" width="21.140625" style="91" customWidth="1"/>
    <col min="260" max="507" width="9.140625" style="91"/>
    <col min="508" max="508" width="21.140625" style="91" customWidth="1"/>
    <col min="509" max="509" width="37" style="91" customWidth="1"/>
    <col min="510" max="510" width="8.140625" style="91" customWidth="1"/>
    <col min="511" max="511" width="16.7109375" style="91" customWidth="1"/>
    <col min="512" max="515" width="21.140625" style="91" customWidth="1"/>
    <col min="516" max="763" width="9.140625" style="91"/>
    <col min="764" max="764" width="21.140625" style="91" customWidth="1"/>
    <col min="765" max="765" width="37" style="91" customWidth="1"/>
    <col min="766" max="766" width="8.140625" style="91" customWidth="1"/>
    <col min="767" max="767" width="16.7109375" style="91" customWidth="1"/>
    <col min="768" max="771" width="21.140625" style="91" customWidth="1"/>
    <col min="772" max="1019" width="9.140625" style="91"/>
    <col min="1020" max="1020" width="21.140625" style="91" customWidth="1"/>
    <col min="1021" max="1021" width="37" style="91" customWidth="1"/>
    <col min="1022" max="1022" width="8.140625" style="91" customWidth="1"/>
    <col min="1023" max="1023" width="16.7109375" style="91" customWidth="1"/>
    <col min="1024" max="1027" width="21.140625" style="91" customWidth="1"/>
    <col min="1028" max="1275" width="9.140625" style="91"/>
    <col min="1276" max="1276" width="21.140625" style="91" customWidth="1"/>
    <col min="1277" max="1277" width="37" style="91" customWidth="1"/>
    <col min="1278" max="1278" width="8.140625" style="91" customWidth="1"/>
    <col min="1279" max="1279" width="16.7109375" style="91" customWidth="1"/>
    <col min="1280" max="1283" width="21.140625" style="91" customWidth="1"/>
    <col min="1284" max="1531" width="9.140625" style="91"/>
    <col min="1532" max="1532" width="21.140625" style="91" customWidth="1"/>
    <col min="1533" max="1533" width="37" style="91" customWidth="1"/>
    <col min="1534" max="1534" width="8.140625" style="91" customWidth="1"/>
    <col min="1535" max="1535" width="16.7109375" style="91" customWidth="1"/>
    <col min="1536" max="1539" width="21.140625" style="91" customWidth="1"/>
    <col min="1540" max="1787" width="9.140625" style="91"/>
    <col min="1788" max="1788" width="21.140625" style="91" customWidth="1"/>
    <col min="1789" max="1789" width="37" style="91" customWidth="1"/>
    <col min="1790" max="1790" width="8.140625" style="91" customWidth="1"/>
    <col min="1791" max="1791" width="16.7109375" style="91" customWidth="1"/>
    <col min="1792" max="1795" width="21.140625" style="91" customWidth="1"/>
    <col min="1796" max="2043" width="9.140625" style="91"/>
    <col min="2044" max="2044" width="21.140625" style="91" customWidth="1"/>
    <col min="2045" max="2045" width="37" style="91" customWidth="1"/>
    <col min="2046" max="2046" width="8.140625" style="91" customWidth="1"/>
    <col min="2047" max="2047" width="16.7109375" style="91" customWidth="1"/>
    <col min="2048" max="2051" width="21.140625" style="91" customWidth="1"/>
    <col min="2052" max="2299" width="9.140625" style="91"/>
    <col min="2300" max="2300" width="21.140625" style="91" customWidth="1"/>
    <col min="2301" max="2301" width="37" style="91" customWidth="1"/>
    <col min="2302" max="2302" width="8.140625" style="91" customWidth="1"/>
    <col min="2303" max="2303" width="16.7109375" style="91" customWidth="1"/>
    <col min="2304" max="2307" width="21.140625" style="91" customWidth="1"/>
    <col min="2308" max="2555" width="9.140625" style="91"/>
    <col min="2556" max="2556" width="21.140625" style="91" customWidth="1"/>
    <col min="2557" max="2557" width="37" style="91" customWidth="1"/>
    <col min="2558" max="2558" width="8.140625" style="91" customWidth="1"/>
    <col min="2559" max="2559" width="16.7109375" style="91" customWidth="1"/>
    <col min="2560" max="2563" width="21.140625" style="91" customWidth="1"/>
    <col min="2564" max="2811" width="9.140625" style="91"/>
    <col min="2812" max="2812" width="21.140625" style="91" customWidth="1"/>
    <col min="2813" max="2813" width="37" style="91" customWidth="1"/>
    <col min="2814" max="2814" width="8.140625" style="91" customWidth="1"/>
    <col min="2815" max="2815" width="16.7109375" style="91" customWidth="1"/>
    <col min="2816" max="2819" width="21.140625" style="91" customWidth="1"/>
    <col min="2820" max="3067" width="9.140625" style="91"/>
    <col min="3068" max="3068" width="21.140625" style="91" customWidth="1"/>
    <col min="3069" max="3069" width="37" style="91" customWidth="1"/>
    <col min="3070" max="3070" width="8.140625" style="91" customWidth="1"/>
    <col min="3071" max="3071" width="16.7109375" style="91" customWidth="1"/>
    <col min="3072" max="3075" width="21.140625" style="91" customWidth="1"/>
    <col min="3076" max="3323" width="9.140625" style="91"/>
    <col min="3324" max="3324" width="21.140625" style="91" customWidth="1"/>
    <col min="3325" max="3325" width="37" style="91" customWidth="1"/>
    <col min="3326" max="3326" width="8.140625" style="91" customWidth="1"/>
    <col min="3327" max="3327" width="16.7109375" style="91" customWidth="1"/>
    <col min="3328" max="3331" width="21.140625" style="91" customWidth="1"/>
    <col min="3332" max="3579" width="9.140625" style="91"/>
    <col min="3580" max="3580" width="21.140625" style="91" customWidth="1"/>
    <col min="3581" max="3581" width="37" style="91" customWidth="1"/>
    <col min="3582" max="3582" width="8.140625" style="91" customWidth="1"/>
    <col min="3583" max="3583" width="16.7109375" style="91" customWidth="1"/>
    <col min="3584" max="3587" width="21.140625" style="91" customWidth="1"/>
    <col min="3588" max="3835" width="9.140625" style="91"/>
    <col min="3836" max="3836" width="21.140625" style="91" customWidth="1"/>
    <col min="3837" max="3837" width="37" style="91" customWidth="1"/>
    <col min="3838" max="3838" width="8.140625" style="91" customWidth="1"/>
    <col min="3839" max="3839" width="16.7109375" style="91" customWidth="1"/>
    <col min="3840" max="3843" width="21.140625" style="91" customWidth="1"/>
    <col min="3844" max="4091" width="9.140625" style="91"/>
    <col min="4092" max="4092" width="21.140625" style="91" customWidth="1"/>
    <col min="4093" max="4093" width="37" style="91" customWidth="1"/>
    <col min="4094" max="4094" width="8.140625" style="91" customWidth="1"/>
    <col min="4095" max="4095" width="16.7109375" style="91" customWidth="1"/>
    <col min="4096" max="4099" width="21.140625" style="91" customWidth="1"/>
    <col min="4100" max="4347" width="9.140625" style="91"/>
    <col min="4348" max="4348" width="21.140625" style="91" customWidth="1"/>
    <col min="4349" max="4349" width="37" style="91" customWidth="1"/>
    <col min="4350" max="4350" width="8.140625" style="91" customWidth="1"/>
    <col min="4351" max="4351" width="16.7109375" style="91" customWidth="1"/>
    <col min="4352" max="4355" width="21.140625" style="91" customWidth="1"/>
    <col min="4356" max="4603" width="9.140625" style="91"/>
    <col min="4604" max="4604" width="21.140625" style="91" customWidth="1"/>
    <col min="4605" max="4605" width="37" style="91" customWidth="1"/>
    <col min="4606" max="4606" width="8.140625" style="91" customWidth="1"/>
    <col min="4607" max="4607" width="16.7109375" style="91" customWidth="1"/>
    <col min="4608" max="4611" width="21.140625" style="91" customWidth="1"/>
    <col min="4612" max="4859" width="9.140625" style="91"/>
    <col min="4860" max="4860" width="21.140625" style="91" customWidth="1"/>
    <col min="4861" max="4861" width="37" style="91" customWidth="1"/>
    <col min="4862" max="4862" width="8.140625" style="91" customWidth="1"/>
    <col min="4863" max="4863" width="16.7109375" style="91" customWidth="1"/>
    <col min="4864" max="4867" width="21.140625" style="91" customWidth="1"/>
    <col min="4868" max="5115" width="9.140625" style="91"/>
    <col min="5116" max="5116" width="21.140625" style="91" customWidth="1"/>
    <col min="5117" max="5117" width="37" style="91" customWidth="1"/>
    <col min="5118" max="5118" width="8.140625" style="91" customWidth="1"/>
    <col min="5119" max="5119" width="16.7109375" style="91" customWidth="1"/>
    <col min="5120" max="5123" width="21.140625" style="91" customWidth="1"/>
    <col min="5124" max="5371" width="9.140625" style="91"/>
    <col min="5372" max="5372" width="21.140625" style="91" customWidth="1"/>
    <col min="5373" max="5373" width="37" style="91" customWidth="1"/>
    <col min="5374" max="5374" width="8.140625" style="91" customWidth="1"/>
    <col min="5375" max="5375" width="16.7109375" style="91" customWidth="1"/>
    <col min="5376" max="5379" width="21.140625" style="91" customWidth="1"/>
    <col min="5380" max="5627" width="9.140625" style="91"/>
    <col min="5628" max="5628" width="21.140625" style="91" customWidth="1"/>
    <col min="5629" max="5629" width="37" style="91" customWidth="1"/>
    <col min="5630" max="5630" width="8.140625" style="91" customWidth="1"/>
    <col min="5631" max="5631" width="16.7109375" style="91" customWidth="1"/>
    <col min="5632" max="5635" width="21.140625" style="91" customWidth="1"/>
    <col min="5636" max="5883" width="9.140625" style="91"/>
    <col min="5884" max="5884" width="21.140625" style="91" customWidth="1"/>
    <col min="5885" max="5885" width="37" style="91" customWidth="1"/>
    <col min="5886" max="5886" width="8.140625" style="91" customWidth="1"/>
    <col min="5887" max="5887" width="16.7109375" style="91" customWidth="1"/>
    <col min="5888" max="5891" width="21.140625" style="91" customWidth="1"/>
    <col min="5892" max="6139" width="9.140625" style="91"/>
    <col min="6140" max="6140" width="21.140625" style="91" customWidth="1"/>
    <col min="6141" max="6141" width="37" style="91" customWidth="1"/>
    <col min="6142" max="6142" width="8.140625" style="91" customWidth="1"/>
    <col min="6143" max="6143" width="16.7109375" style="91" customWidth="1"/>
    <col min="6144" max="6147" width="21.140625" style="91" customWidth="1"/>
    <col min="6148" max="6395" width="9.140625" style="91"/>
    <col min="6396" max="6396" width="21.140625" style="91" customWidth="1"/>
    <col min="6397" max="6397" width="37" style="91" customWidth="1"/>
    <col min="6398" max="6398" width="8.140625" style="91" customWidth="1"/>
    <col min="6399" max="6399" width="16.7109375" style="91" customWidth="1"/>
    <col min="6400" max="6403" width="21.140625" style="91" customWidth="1"/>
    <col min="6404" max="6651" width="9.140625" style="91"/>
    <col min="6652" max="6652" width="21.140625" style="91" customWidth="1"/>
    <col min="6653" max="6653" width="37" style="91" customWidth="1"/>
    <col min="6654" max="6654" width="8.140625" style="91" customWidth="1"/>
    <col min="6655" max="6655" width="16.7109375" style="91" customWidth="1"/>
    <col min="6656" max="6659" width="21.140625" style="91" customWidth="1"/>
    <col min="6660" max="6907" width="9.140625" style="91"/>
    <col min="6908" max="6908" width="21.140625" style="91" customWidth="1"/>
    <col min="6909" max="6909" width="37" style="91" customWidth="1"/>
    <col min="6910" max="6910" width="8.140625" style="91" customWidth="1"/>
    <col min="6911" max="6911" width="16.7109375" style="91" customWidth="1"/>
    <col min="6912" max="6915" width="21.140625" style="91" customWidth="1"/>
    <col min="6916" max="7163" width="9.140625" style="91"/>
    <col min="7164" max="7164" width="21.140625" style="91" customWidth="1"/>
    <col min="7165" max="7165" width="37" style="91" customWidth="1"/>
    <col min="7166" max="7166" width="8.140625" style="91" customWidth="1"/>
    <col min="7167" max="7167" width="16.7109375" style="91" customWidth="1"/>
    <col min="7168" max="7171" width="21.140625" style="91" customWidth="1"/>
    <col min="7172" max="7419" width="9.140625" style="91"/>
    <col min="7420" max="7420" width="21.140625" style="91" customWidth="1"/>
    <col min="7421" max="7421" width="37" style="91" customWidth="1"/>
    <col min="7422" max="7422" width="8.140625" style="91" customWidth="1"/>
    <col min="7423" max="7423" width="16.7109375" style="91" customWidth="1"/>
    <col min="7424" max="7427" width="21.140625" style="91" customWidth="1"/>
    <col min="7428" max="7675" width="9.140625" style="91"/>
    <col min="7676" max="7676" width="21.140625" style="91" customWidth="1"/>
    <col min="7677" max="7677" width="37" style="91" customWidth="1"/>
    <col min="7678" max="7678" width="8.140625" style="91" customWidth="1"/>
    <col min="7679" max="7679" width="16.7109375" style="91" customWidth="1"/>
    <col min="7680" max="7683" width="21.140625" style="91" customWidth="1"/>
    <col min="7684" max="7931" width="9.140625" style="91"/>
    <col min="7932" max="7932" width="21.140625" style="91" customWidth="1"/>
    <col min="7933" max="7933" width="37" style="91" customWidth="1"/>
    <col min="7934" max="7934" width="8.140625" style="91" customWidth="1"/>
    <col min="7935" max="7935" width="16.7109375" style="91" customWidth="1"/>
    <col min="7936" max="7939" width="21.140625" style="91" customWidth="1"/>
    <col min="7940" max="8187" width="9.140625" style="91"/>
    <col min="8188" max="8188" width="21.140625" style="91" customWidth="1"/>
    <col min="8189" max="8189" width="37" style="91" customWidth="1"/>
    <col min="8190" max="8190" width="8.140625" style="91" customWidth="1"/>
    <col min="8191" max="8191" width="16.7109375" style="91" customWidth="1"/>
    <col min="8192" max="8195" width="21.140625" style="91" customWidth="1"/>
    <col min="8196" max="8443" width="9.140625" style="91"/>
    <col min="8444" max="8444" width="21.140625" style="91" customWidth="1"/>
    <col min="8445" max="8445" width="37" style="91" customWidth="1"/>
    <col min="8446" max="8446" width="8.140625" style="91" customWidth="1"/>
    <col min="8447" max="8447" width="16.7109375" style="91" customWidth="1"/>
    <col min="8448" max="8451" width="21.140625" style="91" customWidth="1"/>
    <col min="8452" max="8699" width="9.140625" style="91"/>
    <col min="8700" max="8700" width="21.140625" style="91" customWidth="1"/>
    <col min="8701" max="8701" width="37" style="91" customWidth="1"/>
    <col min="8702" max="8702" width="8.140625" style="91" customWidth="1"/>
    <col min="8703" max="8703" width="16.7109375" style="91" customWidth="1"/>
    <col min="8704" max="8707" width="21.140625" style="91" customWidth="1"/>
    <col min="8708" max="8955" width="9.140625" style="91"/>
    <col min="8956" max="8956" width="21.140625" style="91" customWidth="1"/>
    <col min="8957" max="8957" width="37" style="91" customWidth="1"/>
    <col min="8958" max="8958" width="8.140625" style="91" customWidth="1"/>
    <col min="8959" max="8959" width="16.7109375" style="91" customWidth="1"/>
    <col min="8960" max="8963" width="21.140625" style="91" customWidth="1"/>
    <col min="8964" max="9211" width="9.140625" style="91"/>
    <col min="9212" max="9212" width="21.140625" style="91" customWidth="1"/>
    <col min="9213" max="9213" width="37" style="91" customWidth="1"/>
    <col min="9214" max="9214" width="8.140625" style="91" customWidth="1"/>
    <col min="9215" max="9215" width="16.7109375" style="91" customWidth="1"/>
    <col min="9216" max="9219" width="21.140625" style="91" customWidth="1"/>
    <col min="9220" max="9467" width="9.140625" style="91"/>
    <col min="9468" max="9468" width="21.140625" style="91" customWidth="1"/>
    <col min="9469" max="9469" width="37" style="91" customWidth="1"/>
    <col min="9470" max="9470" width="8.140625" style="91" customWidth="1"/>
    <col min="9471" max="9471" width="16.7109375" style="91" customWidth="1"/>
    <col min="9472" max="9475" width="21.140625" style="91" customWidth="1"/>
    <col min="9476" max="9723" width="9.140625" style="91"/>
    <col min="9724" max="9724" width="21.140625" style="91" customWidth="1"/>
    <col min="9725" max="9725" width="37" style="91" customWidth="1"/>
    <col min="9726" max="9726" width="8.140625" style="91" customWidth="1"/>
    <col min="9727" max="9727" width="16.7109375" style="91" customWidth="1"/>
    <col min="9728" max="9731" width="21.140625" style="91" customWidth="1"/>
    <col min="9732" max="9979" width="9.140625" style="91"/>
    <col min="9980" max="9980" width="21.140625" style="91" customWidth="1"/>
    <col min="9981" max="9981" width="37" style="91" customWidth="1"/>
    <col min="9982" max="9982" width="8.140625" style="91" customWidth="1"/>
    <col min="9983" max="9983" width="16.7109375" style="91" customWidth="1"/>
    <col min="9984" max="9987" width="21.140625" style="91" customWidth="1"/>
    <col min="9988" max="10235" width="9.140625" style="91"/>
    <col min="10236" max="10236" width="21.140625" style="91" customWidth="1"/>
    <col min="10237" max="10237" width="37" style="91" customWidth="1"/>
    <col min="10238" max="10238" width="8.140625" style="91" customWidth="1"/>
    <col min="10239" max="10239" width="16.7109375" style="91" customWidth="1"/>
    <col min="10240" max="10243" width="21.140625" style="91" customWidth="1"/>
    <col min="10244" max="10491" width="9.140625" style="91"/>
    <col min="10492" max="10492" width="21.140625" style="91" customWidth="1"/>
    <col min="10493" max="10493" width="37" style="91" customWidth="1"/>
    <col min="10494" max="10494" width="8.140625" style="91" customWidth="1"/>
    <col min="10495" max="10495" width="16.7109375" style="91" customWidth="1"/>
    <col min="10496" max="10499" width="21.140625" style="91" customWidth="1"/>
    <col min="10500" max="10747" width="9.140625" style="91"/>
    <col min="10748" max="10748" width="21.140625" style="91" customWidth="1"/>
    <col min="10749" max="10749" width="37" style="91" customWidth="1"/>
    <col min="10750" max="10750" width="8.140625" style="91" customWidth="1"/>
    <col min="10751" max="10751" width="16.7109375" style="91" customWidth="1"/>
    <col min="10752" max="10755" width="21.140625" style="91" customWidth="1"/>
    <col min="10756" max="11003" width="9.140625" style="91"/>
    <col min="11004" max="11004" width="21.140625" style="91" customWidth="1"/>
    <col min="11005" max="11005" width="37" style="91" customWidth="1"/>
    <col min="11006" max="11006" width="8.140625" style="91" customWidth="1"/>
    <col min="11007" max="11007" width="16.7109375" style="91" customWidth="1"/>
    <col min="11008" max="11011" width="21.140625" style="91" customWidth="1"/>
    <col min="11012" max="11259" width="9.140625" style="91"/>
    <col min="11260" max="11260" width="21.140625" style="91" customWidth="1"/>
    <col min="11261" max="11261" width="37" style="91" customWidth="1"/>
    <col min="11262" max="11262" width="8.140625" style="91" customWidth="1"/>
    <col min="11263" max="11263" width="16.7109375" style="91" customWidth="1"/>
    <col min="11264" max="11267" width="21.140625" style="91" customWidth="1"/>
    <col min="11268" max="11515" width="9.140625" style="91"/>
    <col min="11516" max="11516" width="21.140625" style="91" customWidth="1"/>
    <col min="11517" max="11517" width="37" style="91" customWidth="1"/>
    <col min="11518" max="11518" width="8.140625" style="91" customWidth="1"/>
    <col min="11519" max="11519" width="16.7109375" style="91" customWidth="1"/>
    <col min="11520" max="11523" width="21.140625" style="91" customWidth="1"/>
    <col min="11524" max="11771" width="9.140625" style="91"/>
    <col min="11772" max="11772" width="21.140625" style="91" customWidth="1"/>
    <col min="11773" max="11773" width="37" style="91" customWidth="1"/>
    <col min="11774" max="11774" width="8.140625" style="91" customWidth="1"/>
    <col min="11775" max="11775" width="16.7109375" style="91" customWidth="1"/>
    <col min="11776" max="11779" width="21.140625" style="91" customWidth="1"/>
    <col min="11780" max="12027" width="9.140625" style="91"/>
    <col min="12028" max="12028" width="21.140625" style="91" customWidth="1"/>
    <col min="12029" max="12029" width="37" style="91" customWidth="1"/>
    <col min="12030" max="12030" width="8.140625" style="91" customWidth="1"/>
    <col min="12031" max="12031" width="16.7109375" style="91" customWidth="1"/>
    <col min="12032" max="12035" width="21.140625" style="91" customWidth="1"/>
    <col min="12036" max="12283" width="9.140625" style="91"/>
    <col min="12284" max="12284" width="21.140625" style="91" customWidth="1"/>
    <col min="12285" max="12285" width="37" style="91" customWidth="1"/>
    <col min="12286" max="12286" width="8.140625" style="91" customWidth="1"/>
    <col min="12287" max="12287" width="16.7109375" style="91" customWidth="1"/>
    <col min="12288" max="12291" width="21.140625" style="91" customWidth="1"/>
    <col min="12292" max="12539" width="9.140625" style="91"/>
    <col min="12540" max="12540" width="21.140625" style="91" customWidth="1"/>
    <col min="12541" max="12541" width="37" style="91" customWidth="1"/>
    <col min="12542" max="12542" width="8.140625" style="91" customWidth="1"/>
    <col min="12543" max="12543" width="16.7109375" style="91" customWidth="1"/>
    <col min="12544" max="12547" width="21.140625" style="91" customWidth="1"/>
    <col min="12548" max="12795" width="9.140625" style="91"/>
    <col min="12796" max="12796" width="21.140625" style="91" customWidth="1"/>
    <col min="12797" max="12797" width="37" style="91" customWidth="1"/>
    <col min="12798" max="12798" width="8.140625" style="91" customWidth="1"/>
    <col min="12799" max="12799" width="16.7109375" style="91" customWidth="1"/>
    <col min="12800" max="12803" width="21.140625" style="91" customWidth="1"/>
    <col min="12804" max="13051" width="9.140625" style="91"/>
    <col min="13052" max="13052" width="21.140625" style="91" customWidth="1"/>
    <col min="13053" max="13053" width="37" style="91" customWidth="1"/>
    <col min="13054" max="13054" width="8.140625" style="91" customWidth="1"/>
    <col min="13055" max="13055" width="16.7109375" style="91" customWidth="1"/>
    <col min="13056" max="13059" width="21.140625" style="91" customWidth="1"/>
    <col min="13060" max="13307" width="9.140625" style="91"/>
    <col min="13308" max="13308" width="21.140625" style="91" customWidth="1"/>
    <col min="13309" max="13309" width="37" style="91" customWidth="1"/>
    <col min="13310" max="13310" width="8.140625" style="91" customWidth="1"/>
    <col min="13311" max="13311" width="16.7109375" style="91" customWidth="1"/>
    <col min="13312" max="13315" width="21.140625" style="91" customWidth="1"/>
    <col min="13316" max="13563" width="9.140625" style="91"/>
    <col min="13564" max="13564" width="21.140625" style="91" customWidth="1"/>
    <col min="13565" max="13565" width="37" style="91" customWidth="1"/>
    <col min="13566" max="13566" width="8.140625" style="91" customWidth="1"/>
    <col min="13567" max="13567" width="16.7109375" style="91" customWidth="1"/>
    <col min="13568" max="13571" width="21.140625" style="91" customWidth="1"/>
    <col min="13572" max="13819" width="9.140625" style="91"/>
    <col min="13820" max="13820" width="21.140625" style="91" customWidth="1"/>
    <col min="13821" max="13821" width="37" style="91" customWidth="1"/>
    <col min="13822" max="13822" width="8.140625" style="91" customWidth="1"/>
    <col min="13823" max="13823" width="16.7109375" style="91" customWidth="1"/>
    <col min="13824" max="13827" width="21.140625" style="91" customWidth="1"/>
    <col min="13828" max="14075" width="9.140625" style="91"/>
    <col min="14076" max="14076" width="21.140625" style="91" customWidth="1"/>
    <col min="14077" max="14077" width="37" style="91" customWidth="1"/>
    <col min="14078" max="14078" width="8.140625" style="91" customWidth="1"/>
    <col min="14079" max="14079" width="16.7109375" style="91" customWidth="1"/>
    <col min="14080" max="14083" width="21.140625" style="91" customWidth="1"/>
    <col min="14084" max="14331" width="9.140625" style="91"/>
    <col min="14332" max="14332" width="21.140625" style="91" customWidth="1"/>
    <col min="14333" max="14333" width="37" style="91" customWidth="1"/>
    <col min="14334" max="14334" width="8.140625" style="91" customWidth="1"/>
    <col min="14335" max="14335" width="16.7109375" style="91" customWidth="1"/>
    <col min="14336" max="14339" width="21.140625" style="91" customWidth="1"/>
    <col min="14340" max="14587" width="9.140625" style="91"/>
    <col min="14588" max="14588" width="21.140625" style="91" customWidth="1"/>
    <col min="14589" max="14589" width="37" style="91" customWidth="1"/>
    <col min="14590" max="14590" width="8.140625" style="91" customWidth="1"/>
    <col min="14591" max="14591" width="16.7109375" style="91" customWidth="1"/>
    <col min="14592" max="14595" width="21.140625" style="91" customWidth="1"/>
    <col min="14596" max="14843" width="9.140625" style="91"/>
    <col min="14844" max="14844" width="21.140625" style="91" customWidth="1"/>
    <col min="14845" max="14845" width="37" style="91" customWidth="1"/>
    <col min="14846" max="14846" width="8.140625" style="91" customWidth="1"/>
    <col min="14847" max="14847" width="16.7109375" style="91" customWidth="1"/>
    <col min="14848" max="14851" width="21.140625" style="91" customWidth="1"/>
    <col min="14852" max="15099" width="9.140625" style="91"/>
    <col min="15100" max="15100" width="21.140625" style="91" customWidth="1"/>
    <col min="15101" max="15101" width="37" style="91" customWidth="1"/>
    <col min="15102" max="15102" width="8.140625" style="91" customWidth="1"/>
    <col min="15103" max="15103" width="16.7109375" style="91" customWidth="1"/>
    <col min="15104" max="15107" width="21.140625" style="91" customWidth="1"/>
    <col min="15108" max="15355" width="9.140625" style="91"/>
    <col min="15356" max="15356" width="21.140625" style="91" customWidth="1"/>
    <col min="15357" max="15357" width="37" style="91" customWidth="1"/>
    <col min="15358" max="15358" width="8.140625" style="91" customWidth="1"/>
    <col min="15359" max="15359" width="16.7109375" style="91" customWidth="1"/>
    <col min="15360" max="15363" width="21.140625" style="91" customWidth="1"/>
    <col min="15364" max="15611" width="9.140625" style="91"/>
    <col min="15612" max="15612" width="21.140625" style="91" customWidth="1"/>
    <col min="15613" max="15613" width="37" style="91" customWidth="1"/>
    <col min="15614" max="15614" width="8.140625" style="91" customWidth="1"/>
    <col min="15615" max="15615" width="16.7109375" style="91" customWidth="1"/>
    <col min="15616" max="15619" width="21.140625" style="91" customWidth="1"/>
    <col min="15620" max="15867" width="9.140625" style="91"/>
    <col min="15868" max="15868" width="21.140625" style="91" customWidth="1"/>
    <col min="15869" max="15869" width="37" style="91" customWidth="1"/>
    <col min="15870" max="15870" width="8.140625" style="91" customWidth="1"/>
    <col min="15871" max="15871" width="16.7109375" style="91" customWidth="1"/>
    <col min="15872" max="15875" width="21.140625" style="91" customWidth="1"/>
    <col min="15876" max="16123" width="9.140625" style="91"/>
    <col min="16124" max="16124" width="21.140625" style="91" customWidth="1"/>
    <col min="16125" max="16125" width="37" style="91" customWidth="1"/>
    <col min="16126" max="16126" width="8.140625" style="91" customWidth="1"/>
    <col min="16127" max="16127" width="16.7109375" style="91" customWidth="1"/>
    <col min="16128" max="16131" width="21.140625" style="91" customWidth="1"/>
    <col min="16132" max="16384" width="9.140625" style="91"/>
  </cols>
  <sheetData>
    <row r="1" spans="1:16" ht="13.5" customHeight="1" x14ac:dyDescent="0.2">
      <c r="A1" s="423" t="s">
        <v>84</v>
      </c>
      <c r="B1" s="423"/>
      <c r="C1" s="423"/>
      <c r="D1" s="423"/>
      <c r="E1" s="423"/>
      <c r="F1" s="423"/>
      <c r="I1" s="91" t="s">
        <v>108</v>
      </c>
      <c r="J1" s="96">
        <v>1</v>
      </c>
    </row>
    <row r="2" spans="1:16" ht="13.5" customHeight="1" x14ac:dyDescent="0.25">
      <c r="A2" s="424" t="s">
        <v>82</v>
      </c>
      <c r="B2" s="424"/>
      <c r="C2" s="424"/>
      <c r="D2" s="424"/>
      <c r="E2" s="424"/>
      <c r="F2" s="424"/>
      <c r="I2" s="91" t="s">
        <v>31</v>
      </c>
      <c r="J2" s="96">
        <v>1</v>
      </c>
    </row>
    <row r="3" spans="1:16" ht="13.5" customHeight="1" x14ac:dyDescent="0.25">
      <c r="A3" s="424" t="s">
        <v>85</v>
      </c>
      <c r="B3" s="424"/>
      <c r="C3" s="424"/>
      <c r="D3" s="424"/>
      <c r="E3" s="424"/>
      <c r="F3" s="424"/>
      <c r="I3" s="91" t="s">
        <v>135</v>
      </c>
      <c r="J3" s="96">
        <v>1</v>
      </c>
    </row>
    <row r="4" spans="1:16" x14ac:dyDescent="0.2">
      <c r="I4" s="91" t="s">
        <v>168</v>
      </c>
      <c r="J4" s="386">
        <v>1.2821</v>
      </c>
    </row>
    <row r="6" spans="1:16" ht="13.5" x14ac:dyDescent="0.25">
      <c r="J6" s="425" t="s">
        <v>87</v>
      </c>
      <c r="K6" s="426"/>
      <c r="L6" s="426"/>
      <c r="M6" s="427"/>
    </row>
    <row r="7" spans="1:16" ht="13.5" x14ac:dyDescent="0.25">
      <c r="A7" s="94" t="s">
        <v>91</v>
      </c>
      <c r="B7" s="94" t="s">
        <v>83</v>
      </c>
      <c r="C7" s="94" t="s">
        <v>30</v>
      </c>
      <c r="D7" s="94" t="s">
        <v>79</v>
      </c>
      <c r="E7" s="94" t="s">
        <v>92</v>
      </c>
      <c r="F7" s="98" t="s">
        <v>93</v>
      </c>
      <c r="H7" s="94" t="s">
        <v>86</v>
      </c>
      <c r="I7" s="94"/>
      <c r="J7" s="97" t="s">
        <v>88</v>
      </c>
      <c r="K7" s="97" t="s">
        <v>89</v>
      </c>
      <c r="L7" s="97" t="s">
        <v>90</v>
      </c>
      <c r="M7" s="97" t="s">
        <v>28</v>
      </c>
    </row>
    <row r="8" spans="1:16" x14ac:dyDescent="0.2">
      <c r="J8" s="95"/>
      <c r="K8" s="95"/>
      <c r="L8" s="95"/>
      <c r="M8" s="95"/>
    </row>
    <row r="9" spans="1:16" ht="13.5" x14ac:dyDescent="0.25">
      <c r="A9" s="390">
        <v>86872</v>
      </c>
      <c r="B9" s="390" t="s">
        <v>1790</v>
      </c>
      <c r="C9" s="391" t="s">
        <v>3</v>
      </c>
      <c r="D9" s="392">
        <f>826.59*N9</f>
        <v>56.017566201283657</v>
      </c>
      <c r="E9" s="392">
        <f>826.59*O9</f>
        <v>770.57243379871636</v>
      </c>
      <c r="F9" s="392">
        <f t="shared" ref="F9:F10" si="0">L9*$J$2</f>
        <v>0</v>
      </c>
      <c r="H9" s="91" t="s">
        <v>100</v>
      </c>
      <c r="J9" s="95">
        <v>51.21</v>
      </c>
      <c r="K9" s="95">
        <v>704.44</v>
      </c>
      <c r="L9" s="95">
        <v>0</v>
      </c>
      <c r="M9" s="95">
        <f t="shared" ref="M9:M10" si="1">SUM(J9:L9)</f>
        <v>755.65000000000009</v>
      </c>
      <c r="N9" s="91">
        <f t="shared" ref="N9:N10" si="2">J9/M9</f>
        <v>6.7769469992721487E-2</v>
      </c>
      <c r="O9" s="91">
        <f t="shared" ref="O9:O10" si="3">K9/M9</f>
        <v>0.93223053000727851</v>
      </c>
      <c r="P9" s="91">
        <f t="shared" ref="P9:P10" si="4">L9/M9</f>
        <v>0</v>
      </c>
    </row>
    <row r="10" spans="1:16" ht="13.5" x14ac:dyDescent="0.25">
      <c r="A10" s="390">
        <v>86877</v>
      </c>
      <c r="B10" s="390" t="s">
        <v>1792</v>
      </c>
      <c r="C10" s="391" t="s">
        <v>3</v>
      </c>
      <c r="D10" s="392">
        <f>78.4*N10</f>
        <v>5.921900237529691</v>
      </c>
      <c r="E10" s="392">
        <f>78.4*O10</f>
        <v>72.478099762470308</v>
      </c>
      <c r="F10" s="392">
        <f t="shared" si="0"/>
        <v>0</v>
      </c>
      <c r="H10" s="91" t="s">
        <v>100</v>
      </c>
      <c r="J10" s="95">
        <v>4.7699999999999996</v>
      </c>
      <c r="K10" s="95">
        <v>58.38</v>
      </c>
      <c r="L10" s="95">
        <v>0</v>
      </c>
      <c r="M10" s="95">
        <f t="shared" si="1"/>
        <v>63.150000000000006</v>
      </c>
      <c r="N10" s="91">
        <f t="shared" si="2"/>
        <v>7.5534441805225644E-2</v>
      </c>
      <c r="O10" s="91">
        <f t="shared" si="3"/>
        <v>0.92446555819477427</v>
      </c>
      <c r="P10" s="91">
        <f t="shared" si="4"/>
        <v>0</v>
      </c>
    </row>
    <row r="11" spans="1:16" ht="13.5" x14ac:dyDescent="0.25">
      <c r="A11" s="390">
        <v>86881</v>
      </c>
      <c r="B11" s="390" t="s">
        <v>1793</v>
      </c>
      <c r="C11" s="391" t="s">
        <v>3</v>
      </c>
      <c r="D11" s="392">
        <f>235.58*N11</f>
        <v>9.3076904461279462</v>
      </c>
      <c r="E11" s="392">
        <f>235.58*O11</f>
        <v>226.27230955387208</v>
      </c>
      <c r="F11" s="392">
        <f t="shared" ref="F11:F18" si="5">L11*$J$2</f>
        <v>0</v>
      </c>
      <c r="H11" s="91" t="s">
        <v>100</v>
      </c>
      <c r="J11" s="95">
        <v>7.51</v>
      </c>
      <c r="K11" s="95">
        <v>182.57</v>
      </c>
      <c r="L11" s="95">
        <v>0</v>
      </c>
      <c r="M11" s="95">
        <f t="shared" ref="M11:M18" si="6">SUM(J11:L11)</f>
        <v>190.07999999999998</v>
      </c>
      <c r="N11" s="91">
        <f t="shared" ref="N11:N18" si="7">J11/M11</f>
        <v>3.9509680134680134E-2</v>
      </c>
      <c r="O11" s="91">
        <f t="shared" ref="O11:O18" si="8">K11/M11</f>
        <v>0.96049031986531996</v>
      </c>
      <c r="P11" s="91">
        <f t="shared" ref="P11:P18" si="9">L11/M11</f>
        <v>0</v>
      </c>
    </row>
    <row r="12" spans="1:16" ht="13.5" x14ac:dyDescent="0.25">
      <c r="A12" s="390">
        <v>86887</v>
      </c>
      <c r="B12" s="390" t="s">
        <v>1794</v>
      </c>
      <c r="C12" s="391" t="s">
        <v>3</v>
      </c>
      <c r="D12" s="392">
        <f>63.02*N12</f>
        <v>5.1814240755310781</v>
      </c>
      <c r="E12" s="392">
        <f>63.02*O12</f>
        <v>57.83857592446892</v>
      </c>
      <c r="F12" s="392">
        <f t="shared" si="5"/>
        <v>0</v>
      </c>
      <c r="H12" s="91" t="s">
        <v>100</v>
      </c>
      <c r="J12" s="95">
        <v>4.18</v>
      </c>
      <c r="K12" s="95">
        <v>46.66</v>
      </c>
      <c r="L12" s="95">
        <v>0</v>
      </c>
      <c r="M12" s="95">
        <f t="shared" si="6"/>
        <v>50.839999999999996</v>
      </c>
      <c r="N12" s="91">
        <f t="shared" si="7"/>
        <v>8.2218725413060578E-2</v>
      </c>
      <c r="O12" s="91">
        <f t="shared" si="8"/>
        <v>0.91778127458693937</v>
      </c>
      <c r="P12" s="91">
        <f t="shared" si="9"/>
        <v>0</v>
      </c>
    </row>
    <row r="13" spans="1:16" ht="13.5" x14ac:dyDescent="0.25">
      <c r="A13" s="390">
        <v>86903</v>
      </c>
      <c r="B13" s="390" t="s">
        <v>1788</v>
      </c>
      <c r="C13" s="391" t="s">
        <v>3</v>
      </c>
      <c r="D13" s="392">
        <f>415.39*N13</f>
        <v>46.731375</v>
      </c>
      <c r="E13" s="392">
        <f>415.39*O13</f>
        <v>368.65862500000003</v>
      </c>
      <c r="F13" s="392">
        <f t="shared" si="5"/>
        <v>0</v>
      </c>
      <c r="H13" s="91" t="s">
        <v>100</v>
      </c>
      <c r="J13" s="95">
        <v>43.47</v>
      </c>
      <c r="K13" s="95">
        <v>342.93</v>
      </c>
      <c r="L13" s="95">
        <v>0</v>
      </c>
      <c r="M13" s="95">
        <f t="shared" si="6"/>
        <v>386.4</v>
      </c>
      <c r="N13" s="91">
        <f t="shared" si="7"/>
        <v>0.1125</v>
      </c>
      <c r="O13" s="91">
        <f t="shared" si="8"/>
        <v>0.88750000000000007</v>
      </c>
      <c r="P13" s="91">
        <f t="shared" si="9"/>
        <v>0</v>
      </c>
    </row>
    <row r="14" spans="1:16" ht="13.5" x14ac:dyDescent="0.25">
      <c r="A14" s="390">
        <v>86914</v>
      </c>
      <c r="B14" s="390" t="s">
        <v>1795</v>
      </c>
      <c r="C14" s="391" t="s">
        <v>3</v>
      </c>
      <c r="D14" s="392">
        <f>117.81*N14</f>
        <v>7.6585660964230176</v>
      </c>
      <c r="E14" s="392">
        <f>117.81*O14</f>
        <v>110.15143390357699</v>
      </c>
      <c r="F14" s="392">
        <f t="shared" si="5"/>
        <v>0</v>
      </c>
      <c r="H14" s="91" t="s">
        <v>100</v>
      </c>
      <c r="J14" s="95">
        <v>4.18</v>
      </c>
      <c r="K14" s="95">
        <v>60.12</v>
      </c>
      <c r="L14" s="95">
        <v>0</v>
      </c>
      <c r="M14" s="95">
        <f t="shared" si="6"/>
        <v>64.3</v>
      </c>
      <c r="N14" s="91">
        <f t="shared" si="7"/>
        <v>6.5007776049766722E-2</v>
      </c>
      <c r="O14" s="91">
        <f t="shared" si="8"/>
        <v>0.93499222395023329</v>
      </c>
      <c r="P14" s="91">
        <f t="shared" si="9"/>
        <v>0</v>
      </c>
    </row>
    <row r="15" spans="1:16" ht="13.5" x14ac:dyDescent="0.25">
      <c r="A15" s="390">
        <v>86932</v>
      </c>
      <c r="B15" s="390" t="s">
        <v>1785</v>
      </c>
      <c r="C15" s="391" t="s">
        <v>3</v>
      </c>
      <c r="D15" s="392">
        <f>619.15*N15</f>
        <v>31.931551142682881</v>
      </c>
      <c r="E15" s="392">
        <f>619.15*O15</f>
        <v>587.21844885731707</v>
      </c>
      <c r="F15" s="392">
        <f t="shared" si="5"/>
        <v>0</v>
      </c>
      <c r="H15" s="91" t="s">
        <v>100</v>
      </c>
      <c r="J15" s="95">
        <v>28.75</v>
      </c>
      <c r="K15" s="95">
        <v>528.71</v>
      </c>
      <c r="L15" s="95">
        <v>0</v>
      </c>
      <c r="M15" s="95">
        <f t="shared" si="6"/>
        <v>557.46</v>
      </c>
      <c r="N15" s="91">
        <f t="shared" si="7"/>
        <v>5.1573207046245469E-2</v>
      </c>
      <c r="O15" s="91">
        <f t="shared" si="8"/>
        <v>0.94842679295375454</v>
      </c>
      <c r="P15" s="91">
        <f t="shared" si="9"/>
        <v>0</v>
      </c>
    </row>
    <row r="16" spans="1:16" ht="13.5" x14ac:dyDescent="0.25">
      <c r="A16" s="390">
        <v>86936</v>
      </c>
      <c r="B16" s="390" t="s">
        <v>1791</v>
      </c>
      <c r="C16" s="391" t="s">
        <v>3</v>
      </c>
      <c r="D16" s="392">
        <f>542.96*N16</f>
        <v>26.615459767669456</v>
      </c>
      <c r="E16" s="392">
        <f>542.96*O16</f>
        <v>516.34454023233047</v>
      </c>
      <c r="F16" s="392">
        <f t="shared" si="5"/>
        <v>0</v>
      </c>
      <c r="H16" s="91" t="s">
        <v>100</v>
      </c>
      <c r="J16" s="95">
        <v>23.04</v>
      </c>
      <c r="K16" s="95">
        <v>446.98</v>
      </c>
      <c r="L16" s="95">
        <v>0</v>
      </c>
      <c r="M16" s="95">
        <f t="shared" si="6"/>
        <v>470.02000000000004</v>
      </c>
      <c r="N16" s="91">
        <f t="shared" si="7"/>
        <v>4.9019190672737321E-2</v>
      </c>
      <c r="O16" s="91">
        <f t="shared" si="8"/>
        <v>0.95098080932726259</v>
      </c>
      <c r="P16" s="91">
        <f t="shared" si="9"/>
        <v>0</v>
      </c>
    </row>
    <row r="17" spans="1:16" ht="13.5" x14ac:dyDescent="0.25">
      <c r="A17" s="390">
        <v>86938</v>
      </c>
      <c r="B17" s="390" t="s">
        <v>1787</v>
      </c>
      <c r="C17" s="391" t="s">
        <v>3</v>
      </c>
      <c r="D17" s="392">
        <f>478.1*N17</f>
        <v>37.18937796193832</v>
      </c>
      <c r="E17" s="392">
        <f>478.1*O17</f>
        <v>440.91062203806166</v>
      </c>
      <c r="F17" s="392">
        <f t="shared" si="5"/>
        <v>0</v>
      </c>
      <c r="H17" s="91" t="s">
        <v>100</v>
      </c>
      <c r="J17" s="95">
        <v>31.35</v>
      </c>
      <c r="K17" s="95">
        <v>371.68</v>
      </c>
      <c r="L17" s="95">
        <v>0</v>
      </c>
      <c r="M17" s="95">
        <f t="shared" si="6"/>
        <v>403.03000000000003</v>
      </c>
      <c r="N17" s="91">
        <f t="shared" si="7"/>
        <v>7.7785772771257727E-2</v>
      </c>
      <c r="O17" s="91">
        <f t="shared" si="8"/>
        <v>0.92221422722874224</v>
      </c>
      <c r="P17" s="91">
        <f t="shared" si="9"/>
        <v>0</v>
      </c>
    </row>
    <row r="18" spans="1:16" ht="13.5" x14ac:dyDescent="0.25">
      <c r="A18" s="390">
        <v>87244</v>
      </c>
      <c r="B18" s="390" t="s">
        <v>1112</v>
      </c>
      <c r="C18" s="391" t="s">
        <v>57</v>
      </c>
      <c r="D18" s="392">
        <f>337.94*N18</f>
        <v>46.53100777116402</v>
      </c>
      <c r="E18" s="392">
        <f>337.94*O18</f>
        <v>291.40899222883598</v>
      </c>
      <c r="F18" s="392">
        <f t="shared" si="5"/>
        <v>0</v>
      </c>
      <c r="H18" s="91" t="s">
        <v>100</v>
      </c>
      <c r="J18" s="95">
        <v>33.31</v>
      </c>
      <c r="K18" s="95">
        <v>208.61</v>
      </c>
      <c r="L18" s="95">
        <v>0</v>
      </c>
      <c r="M18" s="95">
        <f t="shared" si="6"/>
        <v>241.92000000000002</v>
      </c>
      <c r="N18" s="91">
        <f t="shared" si="7"/>
        <v>0.13769014550264549</v>
      </c>
      <c r="O18" s="91">
        <f t="shared" si="8"/>
        <v>0.86230985449735453</v>
      </c>
      <c r="P18" s="91">
        <f t="shared" si="9"/>
        <v>0</v>
      </c>
    </row>
    <row r="19" spans="1:16" ht="13.5" x14ac:dyDescent="0.25">
      <c r="A19" s="390">
        <v>87529</v>
      </c>
      <c r="B19" s="390" t="s">
        <v>1111</v>
      </c>
      <c r="C19" s="391" t="s">
        <v>57</v>
      </c>
      <c r="D19" s="392">
        <f>46.91*N19</f>
        <v>21.150318607764383</v>
      </c>
      <c r="E19" s="392">
        <f t="shared" ref="E19:F19" si="10">46.91*O19</f>
        <v>25.64664524765729</v>
      </c>
      <c r="F19" s="392">
        <f t="shared" si="10"/>
        <v>0.11303614457831321</v>
      </c>
      <c r="H19" s="91" t="s">
        <v>100</v>
      </c>
      <c r="J19" s="95">
        <v>16.84</v>
      </c>
      <c r="K19" s="95">
        <v>20.420000000000002</v>
      </c>
      <c r="L19" s="95">
        <v>0.09</v>
      </c>
      <c r="M19" s="95">
        <f t="shared" ref="M19" si="11">SUM(J19:L19)</f>
        <v>37.350000000000009</v>
      </c>
      <c r="N19" s="91">
        <f t="shared" ref="N19" si="12">J19/M19</f>
        <v>0.4508701472556893</v>
      </c>
      <c r="O19" s="91">
        <f t="shared" ref="O19" si="13">K19/M19</f>
        <v>0.54672021419009365</v>
      </c>
      <c r="P19" s="91">
        <f t="shared" ref="P19" si="14">L19/M19</f>
        <v>2.4096385542168668E-3</v>
      </c>
    </row>
    <row r="20" spans="1:16" ht="13.5" x14ac:dyDescent="0.25">
      <c r="A20" s="390">
        <v>87620</v>
      </c>
      <c r="B20" s="390" t="s">
        <v>1119</v>
      </c>
      <c r="C20" s="391" t="s">
        <v>57</v>
      </c>
      <c r="D20" s="392">
        <f>36.16*N20</f>
        <v>12.317960339943344</v>
      </c>
      <c r="E20" s="392">
        <f t="shared" ref="E20:F20" si="15">36.16*O20</f>
        <v>23.739603399433431</v>
      </c>
      <c r="F20" s="392">
        <f t="shared" si="15"/>
        <v>0.10243626062322947</v>
      </c>
      <c r="H20" s="91" t="s">
        <v>100</v>
      </c>
      <c r="J20" s="95">
        <v>9.6199999999999992</v>
      </c>
      <c r="K20" s="95">
        <v>18.54</v>
      </c>
      <c r="L20" s="95">
        <v>0.08</v>
      </c>
      <c r="M20" s="95">
        <f t="shared" ref="M20" si="16">SUM(J20:L20)</f>
        <v>28.239999999999995</v>
      </c>
      <c r="N20" s="91">
        <f t="shared" ref="N20" si="17">J20/M20</f>
        <v>0.34065155807365444</v>
      </c>
      <c r="O20" s="91">
        <f t="shared" ref="O20" si="18">K20/M20</f>
        <v>0.65651558073654404</v>
      </c>
      <c r="P20" s="91">
        <f t="shared" ref="P20" si="19">L20/M20</f>
        <v>2.8328611898017003E-3</v>
      </c>
    </row>
    <row r="21" spans="1:16" ht="13.5" x14ac:dyDescent="0.25">
      <c r="A21" s="390">
        <v>87879</v>
      </c>
      <c r="B21" s="390" t="s">
        <v>1071</v>
      </c>
      <c r="C21" s="391" t="s">
        <v>57</v>
      </c>
      <c r="D21" s="392">
        <f>5.61*N21</f>
        <v>2.825179856115108</v>
      </c>
      <c r="E21" s="392">
        <f>5.61*O21</f>
        <v>2.7848201438848919</v>
      </c>
      <c r="F21" s="392">
        <f t="shared" ref="F21:F22" si="20">L21*$J$2</f>
        <v>0</v>
      </c>
      <c r="H21" s="91" t="s">
        <v>100</v>
      </c>
      <c r="J21" s="95">
        <v>2.1</v>
      </c>
      <c r="K21" s="95">
        <v>2.0699999999999998</v>
      </c>
      <c r="L21" s="95">
        <v>0</v>
      </c>
      <c r="M21" s="95">
        <f t="shared" ref="M21:M22" si="21">SUM(J21:L21)</f>
        <v>4.17</v>
      </c>
      <c r="N21" s="91">
        <f t="shared" ref="N21:N22" si="22">J21/M21</f>
        <v>0.50359712230215825</v>
      </c>
      <c r="O21" s="91">
        <f t="shared" ref="O21:O22" si="23">K21/M21</f>
        <v>0.49640287769784169</v>
      </c>
      <c r="P21" s="91">
        <f t="shared" ref="P21:P22" si="24">L21/M21</f>
        <v>0</v>
      </c>
    </row>
    <row r="22" spans="1:16" ht="13.5" x14ac:dyDescent="0.25">
      <c r="A22" s="390">
        <v>87885</v>
      </c>
      <c r="B22" s="390" t="s">
        <v>1070</v>
      </c>
      <c r="C22" s="391" t="s">
        <v>57</v>
      </c>
      <c r="D22" s="392">
        <f>9.16*N22</f>
        <v>1.2659191655801825</v>
      </c>
      <c r="E22" s="392">
        <f>9.16*O22</f>
        <v>7.8940808344198183</v>
      </c>
      <c r="F22" s="392">
        <f t="shared" si="20"/>
        <v>0</v>
      </c>
      <c r="H22" s="91" t="s">
        <v>100</v>
      </c>
      <c r="J22" s="95">
        <v>1.06</v>
      </c>
      <c r="K22" s="95">
        <v>6.61</v>
      </c>
      <c r="L22" s="95">
        <v>0</v>
      </c>
      <c r="M22" s="95">
        <f t="shared" si="21"/>
        <v>7.67</v>
      </c>
      <c r="N22" s="91">
        <f t="shared" si="22"/>
        <v>0.13820078226857888</v>
      </c>
      <c r="O22" s="91">
        <f t="shared" si="23"/>
        <v>0.86179921773142121</v>
      </c>
      <c r="P22" s="91">
        <f t="shared" si="24"/>
        <v>0</v>
      </c>
    </row>
    <row r="23" spans="1:16" ht="13.5" x14ac:dyDescent="0.25">
      <c r="A23" s="390">
        <v>88239</v>
      </c>
      <c r="B23" s="390" t="s">
        <v>50</v>
      </c>
      <c r="C23" s="391" t="s">
        <v>48</v>
      </c>
      <c r="D23" s="392">
        <f t="shared" ref="D23:D29" ca="1" si="25">J23*$J$2</f>
        <v>25.239999943594892</v>
      </c>
      <c r="E23" s="392">
        <f t="shared" ref="E23:E29" ca="1" si="26">K23*$J$2</f>
        <v>7.4900000564051039</v>
      </c>
      <c r="F23" s="392">
        <f t="shared" ref="F23:F29" si="27">L23*$J$2</f>
        <v>0</v>
      </c>
      <c r="H23" s="91" t="s">
        <v>100</v>
      </c>
      <c r="J23" s="95">
        <f ca="1">32.73*N23</f>
        <v>25.239999943594892</v>
      </c>
      <c r="K23" s="95">
        <f ca="1">32.73*O23</f>
        <v>7.4900000564051039</v>
      </c>
      <c r="L23" s="95">
        <v>0</v>
      </c>
      <c r="M23" s="95">
        <f t="shared" ref="M23:M29" ca="1" si="28">SUM(J23:L23)</f>
        <v>32.729999999999997</v>
      </c>
      <c r="N23" s="91">
        <f t="shared" ref="N23:N29" ca="1" si="29">J23/M23</f>
        <v>0.77115795733562154</v>
      </c>
      <c r="O23" s="91">
        <f t="shared" ref="O23:O29" ca="1" si="30">K23/M23</f>
        <v>0.22884204266437838</v>
      </c>
      <c r="P23" s="91">
        <f t="shared" ref="P23:P29" ca="1" si="31">L23/M23</f>
        <v>0</v>
      </c>
    </row>
    <row r="24" spans="1:16" ht="13.5" x14ac:dyDescent="0.25">
      <c r="A24" s="390">
        <v>88248</v>
      </c>
      <c r="B24" s="390" t="s">
        <v>51</v>
      </c>
      <c r="C24" s="391" t="s">
        <v>48</v>
      </c>
      <c r="D24" s="392">
        <f t="shared" ca="1" si="25"/>
        <v>25.659999972532496</v>
      </c>
      <c r="E24" s="392">
        <f t="shared" ca="1" si="26"/>
        <v>7.0400000274675039</v>
      </c>
      <c r="F24" s="392">
        <f t="shared" si="27"/>
        <v>0</v>
      </c>
      <c r="H24" s="91" t="s">
        <v>100</v>
      </c>
      <c r="J24" s="95">
        <f ca="1">32.7*N24</f>
        <v>25.659999972532496</v>
      </c>
      <c r="K24" s="95">
        <f ca="1">32.7*O24</f>
        <v>7.0400000274675039</v>
      </c>
      <c r="L24" s="95">
        <v>0</v>
      </c>
      <c r="M24" s="95">
        <f t="shared" ca="1" si="28"/>
        <v>32.700000000000003</v>
      </c>
      <c r="N24" s="91">
        <f t="shared" ca="1" si="29"/>
        <v>0.78470947928233925</v>
      </c>
      <c r="O24" s="91">
        <f t="shared" ca="1" si="30"/>
        <v>0.21529052071766064</v>
      </c>
      <c r="P24" s="91">
        <f t="shared" ca="1" si="31"/>
        <v>0</v>
      </c>
    </row>
    <row r="25" spans="1:16" ht="13.5" x14ac:dyDescent="0.25">
      <c r="A25" s="390">
        <v>88256</v>
      </c>
      <c r="B25" s="390" t="s">
        <v>52</v>
      </c>
      <c r="C25" s="391" t="s">
        <v>48</v>
      </c>
      <c r="D25" s="392">
        <f t="shared" ca="1" si="25"/>
        <v>35.839999919135856</v>
      </c>
      <c r="E25" s="392">
        <f t="shared" ca="1" si="26"/>
        <v>7.6100000808641433</v>
      </c>
      <c r="F25" s="392">
        <f t="shared" si="27"/>
        <v>0</v>
      </c>
      <c r="H25" s="91" t="s">
        <v>100</v>
      </c>
      <c r="J25" s="95">
        <f ca="1">43.45*N25</f>
        <v>35.839999919135856</v>
      </c>
      <c r="K25" s="95">
        <f ca="1">43.45*O25</f>
        <v>7.6100000808641433</v>
      </c>
      <c r="L25" s="95">
        <v>0</v>
      </c>
      <c r="M25" s="95">
        <f t="shared" ca="1" si="28"/>
        <v>43.45</v>
      </c>
      <c r="N25" s="91">
        <f t="shared" ca="1" si="29"/>
        <v>0.8248561546406411</v>
      </c>
      <c r="O25" s="91">
        <f t="shared" ca="1" si="30"/>
        <v>0.17514384535935887</v>
      </c>
      <c r="P25" s="91">
        <f t="shared" ca="1" si="31"/>
        <v>0</v>
      </c>
    </row>
    <row r="26" spans="1:16" ht="13.5" x14ac:dyDescent="0.25">
      <c r="A26" s="390">
        <v>88261</v>
      </c>
      <c r="B26" s="390" t="s">
        <v>53</v>
      </c>
      <c r="C26" s="391" t="s">
        <v>48</v>
      </c>
      <c r="D26" s="392">
        <f t="shared" ca="1" si="25"/>
        <v>35.629999926906223</v>
      </c>
      <c r="E26" s="392">
        <f t="shared" ca="1" si="26"/>
        <v>7.4900000730937792</v>
      </c>
      <c r="F26" s="392">
        <f t="shared" si="27"/>
        <v>0</v>
      </c>
      <c r="H26" s="91" t="s">
        <v>100</v>
      </c>
      <c r="J26" s="95">
        <f ca="1">43.12*N26</f>
        <v>35.629999926906216</v>
      </c>
      <c r="K26" s="95">
        <f ca="1">43.12*O26</f>
        <v>7.4900000730937775</v>
      </c>
      <c r="L26" s="95">
        <v>0</v>
      </c>
      <c r="M26" s="95">
        <f t="shared" ca="1" si="28"/>
        <v>43.11999999999999</v>
      </c>
      <c r="N26" s="91">
        <f t="shared" ca="1" si="29"/>
        <v>0.8262986996035766</v>
      </c>
      <c r="O26" s="91">
        <f t="shared" ca="1" si="30"/>
        <v>0.17370130039642345</v>
      </c>
      <c r="P26" s="91">
        <f t="shared" ca="1" si="31"/>
        <v>0</v>
      </c>
    </row>
    <row r="27" spans="1:16" ht="13.5" x14ac:dyDescent="0.25">
      <c r="A27" s="390">
        <v>88262</v>
      </c>
      <c r="B27" s="390" t="s">
        <v>54</v>
      </c>
      <c r="C27" s="391" t="s">
        <v>48</v>
      </c>
      <c r="D27" s="392">
        <f t="shared" ca="1" si="25"/>
        <v>33.189996128332432</v>
      </c>
      <c r="E27" s="392">
        <f t="shared" ca="1" si="26"/>
        <v>7.4900038716675681</v>
      </c>
      <c r="F27" s="392">
        <f t="shared" si="27"/>
        <v>0</v>
      </c>
      <c r="H27" s="91" t="s">
        <v>100</v>
      </c>
      <c r="J27" s="95">
        <f ca="1">40.68*N27</f>
        <v>33.189996128332432</v>
      </c>
      <c r="K27" s="95">
        <f ca="1">40.68*O27</f>
        <v>7.4900038716675681</v>
      </c>
      <c r="L27" s="95">
        <v>0</v>
      </c>
      <c r="M27" s="95">
        <f t="shared" ca="1" si="28"/>
        <v>40.68</v>
      </c>
      <c r="N27" s="91">
        <f t="shared" ca="1" si="29"/>
        <v>0.8158799441576311</v>
      </c>
      <c r="O27" s="91">
        <f t="shared" ca="1" si="30"/>
        <v>0.18412005584236893</v>
      </c>
      <c r="P27" s="91">
        <f t="shared" ca="1" si="31"/>
        <v>0</v>
      </c>
    </row>
    <row r="28" spans="1:16" ht="13.5" x14ac:dyDescent="0.25">
      <c r="A28" s="390">
        <v>88267</v>
      </c>
      <c r="B28" s="390" t="s">
        <v>55</v>
      </c>
      <c r="C28" s="391" t="s">
        <v>48</v>
      </c>
      <c r="D28" s="392">
        <f t="shared" ca="1" si="25"/>
        <v>32.199999984379929</v>
      </c>
      <c r="E28" s="392">
        <f t="shared" ca="1" si="26"/>
        <v>7.0400000156200724</v>
      </c>
      <c r="F28" s="392">
        <f t="shared" si="27"/>
        <v>0</v>
      </c>
      <c r="H28" s="91" t="s">
        <v>100</v>
      </c>
      <c r="J28" s="95">
        <f ca="1">39.24*N28</f>
        <v>32.199999984379929</v>
      </c>
      <c r="K28" s="95">
        <f ca="1">39.24*O28</f>
        <v>7.0400000156200724</v>
      </c>
      <c r="L28" s="95">
        <v>0</v>
      </c>
      <c r="M28" s="95">
        <f t="shared" ca="1" si="28"/>
        <v>39.24</v>
      </c>
      <c r="N28" s="91">
        <f t="shared" ca="1" si="29"/>
        <v>0.82059123303720505</v>
      </c>
      <c r="O28" s="91">
        <f t="shared" ca="1" si="30"/>
        <v>0.1794087669627949</v>
      </c>
      <c r="P28" s="91">
        <f t="shared" ca="1" si="31"/>
        <v>0</v>
      </c>
    </row>
    <row r="29" spans="1:16" ht="13.5" x14ac:dyDescent="0.25">
      <c r="A29" s="390">
        <v>88274</v>
      </c>
      <c r="B29" s="390" t="s">
        <v>1304</v>
      </c>
      <c r="C29" s="391" t="s">
        <v>48</v>
      </c>
      <c r="D29" s="392">
        <f t="shared" ca="1" si="25"/>
        <v>26.459995762542402</v>
      </c>
      <c r="E29" s="392">
        <f t="shared" ca="1" si="26"/>
        <v>7.6100042374575994</v>
      </c>
      <c r="F29" s="392">
        <f t="shared" si="27"/>
        <v>0</v>
      </c>
      <c r="H29" s="91" t="s">
        <v>100</v>
      </c>
      <c r="J29" s="95">
        <f ca="1">34.07*N29</f>
        <v>26.459995762542402</v>
      </c>
      <c r="K29" s="95">
        <f ca="1">34.07*O29</f>
        <v>7.6100042374575994</v>
      </c>
      <c r="L29" s="95">
        <v>0</v>
      </c>
      <c r="M29" s="95">
        <f t="shared" ca="1" si="28"/>
        <v>34.07</v>
      </c>
      <c r="N29" s="91">
        <f t="shared" ca="1" si="29"/>
        <v>0.77663621257829185</v>
      </c>
      <c r="O29" s="91">
        <f t="shared" ca="1" si="30"/>
        <v>0.22336378742170823</v>
      </c>
      <c r="P29" s="91">
        <f t="shared" ca="1" si="31"/>
        <v>0</v>
      </c>
    </row>
    <row r="30" spans="1:16" ht="13.5" x14ac:dyDescent="0.25">
      <c r="A30" s="390">
        <v>88309</v>
      </c>
      <c r="B30" s="390" t="s">
        <v>49</v>
      </c>
      <c r="C30" s="391" t="s">
        <v>48</v>
      </c>
      <c r="D30" s="392">
        <f t="shared" ref="D30:D31" ca="1" si="32">J30*$J$2</f>
        <v>33.559999243213461</v>
      </c>
      <c r="E30" s="392">
        <f t="shared" ref="E30:E31" ca="1" si="33">K30*$J$2</f>
        <v>7.6100007567865369</v>
      </c>
      <c r="F30" s="392">
        <f t="shared" ref="F30:F32" si="34">L30*$J$2</f>
        <v>0</v>
      </c>
      <c r="H30" s="91" t="s">
        <v>100</v>
      </c>
      <c r="J30" s="95">
        <f ca="1">41.17*N30</f>
        <v>33.559999243213461</v>
      </c>
      <c r="K30" s="95">
        <f ca="1">41.17*O30</f>
        <v>7.6100007567865369</v>
      </c>
      <c r="L30" s="95">
        <v>0</v>
      </c>
      <c r="M30" s="95">
        <f t="shared" ref="M30:M32" ca="1" si="35">SUM(J30:L30)</f>
        <v>41.17</v>
      </c>
      <c r="N30" s="91">
        <f t="shared" ref="N30:N32" ca="1" si="36">J30/M30</f>
        <v>0.81515664909432739</v>
      </c>
      <c r="O30" s="91">
        <f t="shared" ref="O30:O32" ca="1" si="37">K30/M30</f>
        <v>0.1848433509056725</v>
      </c>
      <c r="P30" s="91">
        <f t="shared" ref="P30:P32" ca="1" si="38">L30/M30</f>
        <v>0</v>
      </c>
    </row>
    <row r="31" spans="1:16" ht="13.5" x14ac:dyDescent="0.25">
      <c r="A31" s="390">
        <v>88316</v>
      </c>
      <c r="B31" s="390" t="s">
        <v>56</v>
      </c>
      <c r="C31" s="391" t="s">
        <v>48</v>
      </c>
      <c r="D31" s="392">
        <f t="shared" ca="1" si="32"/>
        <v>24.629999672248491</v>
      </c>
      <c r="E31" s="392">
        <f t="shared" ca="1" si="33"/>
        <v>7.4900003277515044</v>
      </c>
      <c r="F31" s="392">
        <f t="shared" si="34"/>
        <v>0</v>
      </c>
      <c r="H31" s="91" t="s">
        <v>100</v>
      </c>
      <c r="J31" s="95">
        <f ca="1">32.12*N31</f>
        <v>24.629999672248491</v>
      </c>
      <c r="K31" s="95">
        <f ca="1">32.12*O31</f>
        <v>7.4900003277515044</v>
      </c>
      <c r="L31" s="95">
        <v>0</v>
      </c>
      <c r="M31" s="95">
        <f t="shared" ca="1" si="35"/>
        <v>32.119999999999997</v>
      </c>
      <c r="N31" s="91">
        <f t="shared" ca="1" si="36"/>
        <v>0.76681194496414984</v>
      </c>
      <c r="O31" s="91">
        <f t="shared" ca="1" si="37"/>
        <v>0.23318805503585011</v>
      </c>
      <c r="P31" s="91">
        <f t="shared" ca="1" si="38"/>
        <v>0</v>
      </c>
    </row>
    <row r="32" spans="1:16" ht="13.5" x14ac:dyDescent="0.25">
      <c r="A32" s="390">
        <v>88326</v>
      </c>
      <c r="B32" s="390" t="s">
        <v>125</v>
      </c>
      <c r="C32" s="391" t="s">
        <v>48</v>
      </c>
      <c r="D32" s="392">
        <f>34.34*N32</f>
        <v>25.959204952753346</v>
      </c>
      <c r="E32" s="392">
        <f>34.34*O32</f>
        <v>8.3807950472466608</v>
      </c>
      <c r="F32" s="392">
        <f t="shared" si="34"/>
        <v>0</v>
      </c>
      <c r="H32" s="91" t="s">
        <v>100</v>
      </c>
      <c r="J32" s="95">
        <v>23.2</v>
      </c>
      <c r="K32" s="95">
        <v>7.49</v>
      </c>
      <c r="L32" s="95">
        <v>0</v>
      </c>
      <c r="M32" s="95">
        <f t="shared" si="35"/>
        <v>30.689999999999998</v>
      </c>
      <c r="N32" s="91">
        <f t="shared" si="36"/>
        <v>0.75594656239817537</v>
      </c>
      <c r="O32" s="91">
        <f t="shared" si="37"/>
        <v>0.24405343760182471</v>
      </c>
      <c r="P32" s="91">
        <f t="shared" si="38"/>
        <v>0</v>
      </c>
    </row>
    <row r="33" spans="1:16" ht="13.5" x14ac:dyDescent="0.25">
      <c r="A33" s="390">
        <v>88484</v>
      </c>
      <c r="B33" s="390" t="s">
        <v>1130</v>
      </c>
      <c r="C33" s="391" t="s">
        <v>57</v>
      </c>
      <c r="D33" s="392">
        <f>7.08*N33</f>
        <v>2.8437673130193901</v>
      </c>
      <c r="E33" s="392">
        <f>7.08*O33</f>
        <v>4.2362326869806095</v>
      </c>
      <c r="F33" s="392">
        <f t="shared" ref="F33:F38" si="39">L33*$J$2</f>
        <v>0</v>
      </c>
      <c r="H33" s="91" t="s">
        <v>100</v>
      </c>
      <c r="J33" s="95">
        <v>1.45</v>
      </c>
      <c r="K33" s="95">
        <v>2.16</v>
      </c>
      <c r="L33" s="95">
        <v>0</v>
      </c>
      <c r="M33" s="95">
        <f t="shared" ref="M33:M38" si="40">SUM(J33:L33)</f>
        <v>3.6100000000000003</v>
      </c>
      <c r="N33" s="91">
        <f t="shared" ref="N33:N38" si="41">J33/M33</f>
        <v>0.40166204986149578</v>
      </c>
      <c r="O33" s="91">
        <f t="shared" ref="O33:O38" si="42">K33/M33</f>
        <v>0.5983379501385041</v>
      </c>
      <c r="P33" s="91">
        <f t="shared" ref="P33:P38" si="43">L33/M33</f>
        <v>0</v>
      </c>
    </row>
    <row r="34" spans="1:16" ht="13.5" x14ac:dyDescent="0.25">
      <c r="A34" s="390">
        <v>88485</v>
      </c>
      <c r="B34" s="390" t="s">
        <v>1131</v>
      </c>
      <c r="C34" s="391" t="s">
        <v>57</v>
      </c>
      <c r="D34" s="392">
        <f>5.7*N34</f>
        <v>2.0278846153846155</v>
      </c>
      <c r="E34" s="392">
        <f>5.7*O34</f>
        <v>3.6721153846153842</v>
      </c>
      <c r="F34" s="392">
        <f t="shared" si="39"/>
        <v>0</v>
      </c>
      <c r="H34" s="91" t="s">
        <v>100</v>
      </c>
      <c r="J34" s="95">
        <v>1.1100000000000001</v>
      </c>
      <c r="K34" s="95">
        <v>2.0099999999999998</v>
      </c>
      <c r="L34" s="95">
        <v>0</v>
      </c>
      <c r="M34" s="95">
        <f t="shared" si="40"/>
        <v>3.12</v>
      </c>
      <c r="N34" s="91">
        <f t="shared" si="41"/>
        <v>0.35576923076923078</v>
      </c>
      <c r="O34" s="91">
        <f t="shared" si="42"/>
        <v>0.64423076923076916</v>
      </c>
      <c r="P34" s="91">
        <f t="shared" si="43"/>
        <v>0</v>
      </c>
    </row>
    <row r="35" spans="1:16" ht="13.5" x14ac:dyDescent="0.25">
      <c r="A35" s="390">
        <v>88488</v>
      </c>
      <c r="B35" s="390" t="s">
        <v>1132</v>
      </c>
      <c r="C35" s="391" t="s">
        <v>57</v>
      </c>
      <c r="D35" s="392">
        <f>19.3*N35</f>
        <v>7.6822004608294936</v>
      </c>
      <c r="E35" s="392">
        <f>19.3*O35</f>
        <v>11.617799539170507</v>
      </c>
      <c r="F35" s="392">
        <f t="shared" si="39"/>
        <v>0</v>
      </c>
      <c r="H35" s="91" t="s">
        <v>100</v>
      </c>
      <c r="J35" s="95">
        <v>6.91</v>
      </c>
      <c r="K35" s="95">
        <v>10.45</v>
      </c>
      <c r="L35" s="95">
        <v>0</v>
      </c>
      <c r="M35" s="95">
        <f t="shared" si="40"/>
        <v>17.36</v>
      </c>
      <c r="N35" s="91">
        <f t="shared" si="41"/>
        <v>0.39804147465437789</v>
      </c>
      <c r="O35" s="91">
        <f t="shared" si="42"/>
        <v>0.60195852534562211</v>
      </c>
      <c r="P35" s="91">
        <f t="shared" si="43"/>
        <v>0</v>
      </c>
    </row>
    <row r="36" spans="1:16" ht="13.5" x14ac:dyDescent="0.25">
      <c r="A36" s="390">
        <v>88489</v>
      </c>
      <c r="B36" s="390" t="s">
        <v>1133</v>
      </c>
      <c r="C36" s="391" t="s">
        <v>57</v>
      </c>
      <c r="D36" s="392">
        <f>15.93*N36</f>
        <v>5.5913245033112577</v>
      </c>
      <c r="E36" s="392">
        <f>15.93*O36</f>
        <v>10.338675496688742</v>
      </c>
      <c r="F36" s="392">
        <f t="shared" si="39"/>
        <v>0</v>
      </c>
      <c r="H36" s="91" t="s">
        <v>100</v>
      </c>
      <c r="J36" s="95">
        <v>5.3</v>
      </c>
      <c r="K36" s="95">
        <v>9.8000000000000007</v>
      </c>
      <c r="L36" s="95">
        <v>0</v>
      </c>
      <c r="M36" s="95">
        <f t="shared" si="40"/>
        <v>15.100000000000001</v>
      </c>
      <c r="N36" s="91">
        <f t="shared" si="41"/>
        <v>0.35099337748344367</v>
      </c>
      <c r="O36" s="91">
        <f t="shared" si="42"/>
        <v>0.64900662251655628</v>
      </c>
      <c r="P36" s="91">
        <f t="shared" si="43"/>
        <v>0</v>
      </c>
    </row>
    <row r="37" spans="1:16" ht="13.5" x14ac:dyDescent="0.25">
      <c r="A37" s="390">
        <v>88496</v>
      </c>
      <c r="B37" s="390" t="s">
        <v>1128</v>
      </c>
      <c r="C37" s="391" t="s">
        <v>57</v>
      </c>
      <c r="D37" s="392">
        <f>44.52*N37</f>
        <v>25.719369887912759</v>
      </c>
      <c r="E37" s="392">
        <f>44.52*O37</f>
        <v>18.800630112087248</v>
      </c>
      <c r="F37" s="392">
        <f t="shared" si="39"/>
        <v>0</v>
      </c>
      <c r="H37" s="91" t="s">
        <v>100</v>
      </c>
      <c r="J37" s="95">
        <v>19.07</v>
      </c>
      <c r="K37" s="95">
        <v>13.94</v>
      </c>
      <c r="L37" s="95">
        <v>0</v>
      </c>
      <c r="M37" s="95">
        <f t="shared" si="40"/>
        <v>33.01</v>
      </c>
      <c r="N37" s="91">
        <f t="shared" si="41"/>
        <v>0.57770372614359289</v>
      </c>
      <c r="O37" s="91">
        <f t="shared" si="42"/>
        <v>0.42229627385640717</v>
      </c>
      <c r="P37" s="91">
        <f t="shared" si="43"/>
        <v>0</v>
      </c>
    </row>
    <row r="38" spans="1:16" ht="13.5" x14ac:dyDescent="0.25">
      <c r="A38" s="390">
        <v>88497</v>
      </c>
      <c r="B38" s="390" t="s">
        <v>1129</v>
      </c>
      <c r="C38" s="391" t="s">
        <v>57</v>
      </c>
      <c r="D38" s="392">
        <f>24.28*N38</f>
        <v>11.514763948497855</v>
      </c>
      <c r="E38" s="392">
        <f>24.28*O38</f>
        <v>12.765236051502148</v>
      </c>
      <c r="F38" s="392">
        <f t="shared" si="39"/>
        <v>0</v>
      </c>
      <c r="H38" s="91" t="s">
        <v>100</v>
      </c>
      <c r="J38" s="95">
        <v>8.84</v>
      </c>
      <c r="K38" s="95">
        <v>9.8000000000000007</v>
      </c>
      <c r="L38" s="95">
        <v>0</v>
      </c>
      <c r="M38" s="95">
        <f t="shared" si="40"/>
        <v>18.64</v>
      </c>
      <c r="N38" s="91">
        <f t="shared" si="41"/>
        <v>0.47424892703862659</v>
      </c>
      <c r="O38" s="91">
        <f t="shared" si="42"/>
        <v>0.52575107296137347</v>
      </c>
      <c r="P38" s="91">
        <f t="shared" si="43"/>
        <v>0</v>
      </c>
    </row>
    <row r="39" spans="1:16" ht="13.5" x14ac:dyDescent="0.25">
      <c r="A39" s="390">
        <v>89511</v>
      </c>
      <c r="B39" s="390" t="s">
        <v>1912</v>
      </c>
      <c r="C39" s="391" t="s">
        <v>2</v>
      </c>
      <c r="D39" s="392">
        <f>46.82*N39</f>
        <v>12.551203510238194</v>
      </c>
      <c r="E39" s="392">
        <f>46.82*O39</f>
        <v>34.268796489761812</v>
      </c>
      <c r="F39" s="392">
        <f t="shared" ref="F39" si="44">L39*$J$2</f>
        <v>0</v>
      </c>
      <c r="H39" s="91" t="s">
        <v>100</v>
      </c>
      <c r="J39" s="95">
        <v>12.83</v>
      </c>
      <c r="K39" s="95">
        <v>35.03</v>
      </c>
      <c r="L39" s="95">
        <v>0</v>
      </c>
      <c r="M39" s="95">
        <f t="shared" ref="M39:M40" si="45">SUM(J39:L39)</f>
        <v>47.86</v>
      </c>
      <c r="N39" s="91">
        <f t="shared" ref="N39:N40" si="46">J39/M39</f>
        <v>0.26807354784788967</v>
      </c>
      <c r="O39" s="91">
        <f t="shared" ref="O39:O40" si="47">K39/M39</f>
        <v>0.73192645215211039</v>
      </c>
      <c r="P39" s="91">
        <f t="shared" ref="P39:P40" si="48">L39/M39</f>
        <v>0</v>
      </c>
    </row>
    <row r="40" spans="1:16" ht="13.5" x14ac:dyDescent="0.25">
      <c r="A40" s="390">
        <v>89512</v>
      </c>
      <c r="B40" s="390" t="s">
        <v>1916</v>
      </c>
      <c r="C40" s="391" t="s">
        <v>2</v>
      </c>
      <c r="D40" s="392">
        <f>59.95*N40</f>
        <v>13.914418758256275</v>
      </c>
      <c r="E40" s="392">
        <f t="shared" ref="E40:F40" si="49">59.95*O40</f>
        <v>46.035581241743728</v>
      </c>
      <c r="F40" s="392">
        <f t="shared" si="49"/>
        <v>0</v>
      </c>
      <c r="H40" s="91" t="s">
        <v>100</v>
      </c>
      <c r="J40" s="95">
        <v>17.57</v>
      </c>
      <c r="K40" s="95">
        <v>58.13</v>
      </c>
      <c r="L40" s="95">
        <v>0</v>
      </c>
      <c r="M40" s="95">
        <f t="shared" si="45"/>
        <v>75.7</v>
      </c>
      <c r="N40" s="91">
        <f t="shared" si="46"/>
        <v>0.23210039630118889</v>
      </c>
      <c r="O40" s="91">
        <f t="shared" si="47"/>
        <v>0.76789960369881105</v>
      </c>
      <c r="P40" s="91">
        <f t="shared" si="48"/>
        <v>0</v>
      </c>
    </row>
    <row r="41" spans="1:16" ht="13.5" x14ac:dyDescent="0.25">
      <c r="A41" s="390">
        <v>89580</v>
      </c>
      <c r="B41" s="390" t="s">
        <v>1913</v>
      </c>
      <c r="C41" s="391" t="s">
        <v>2</v>
      </c>
      <c r="D41" s="392">
        <f>74.99*N41</f>
        <v>5.4336136944302496</v>
      </c>
      <c r="E41" s="392">
        <f>74.99*O41</f>
        <v>69.556386305569745</v>
      </c>
      <c r="F41" s="392">
        <f t="shared" ref="F41" si="50">L41*$J$2</f>
        <v>0</v>
      </c>
      <c r="H41" s="91" t="s">
        <v>100</v>
      </c>
      <c r="J41" s="95">
        <v>7.09</v>
      </c>
      <c r="K41" s="95">
        <v>90.76</v>
      </c>
      <c r="L41" s="95">
        <v>0</v>
      </c>
      <c r="M41" s="95">
        <f t="shared" ref="M41" si="51">SUM(J41:L41)</f>
        <v>97.850000000000009</v>
      </c>
      <c r="N41" s="91">
        <f t="shared" ref="N41" si="52">J41/M41</f>
        <v>7.2457843638221761E-2</v>
      </c>
      <c r="O41" s="91">
        <f t="shared" ref="O41" si="53">K41/M41</f>
        <v>0.92754215636177817</v>
      </c>
      <c r="P41" s="91">
        <f t="shared" ref="P41" si="54">L41/M41</f>
        <v>0</v>
      </c>
    </row>
    <row r="42" spans="1:16" ht="13.5" x14ac:dyDescent="0.25">
      <c r="A42" s="390">
        <v>89711</v>
      </c>
      <c r="B42" s="390" t="s">
        <v>1937</v>
      </c>
      <c r="C42" s="391" t="s">
        <v>2</v>
      </c>
      <c r="D42" s="392">
        <f>28.42*N42</f>
        <v>14.973164669329782</v>
      </c>
      <c r="E42" s="392">
        <f t="shared" ref="E42:F42" si="55">28.42*O42</f>
        <v>13.446835330670218</v>
      </c>
      <c r="F42" s="392">
        <f t="shared" si="55"/>
        <v>0</v>
      </c>
      <c r="H42" s="91" t="s">
        <v>100</v>
      </c>
      <c r="J42" s="95">
        <v>11.87</v>
      </c>
      <c r="K42" s="95">
        <v>10.66</v>
      </c>
      <c r="L42" s="95">
        <v>0</v>
      </c>
      <c r="M42" s="95">
        <f t="shared" ref="M42:M45" si="56">SUM(J42:L42)</f>
        <v>22.53</v>
      </c>
      <c r="N42" s="91">
        <f t="shared" ref="N42:N45" si="57">J42/M42</f>
        <v>0.52685308477585435</v>
      </c>
      <c r="O42" s="91">
        <f t="shared" ref="O42:O45" si="58">K42/M42</f>
        <v>0.47314691522414559</v>
      </c>
      <c r="P42" s="91">
        <f t="shared" ref="P42:P45" si="59">L42/M42</f>
        <v>0</v>
      </c>
    </row>
    <row r="43" spans="1:16" ht="13.5" x14ac:dyDescent="0.25">
      <c r="A43" s="390">
        <v>89712</v>
      </c>
      <c r="B43" s="390" t="s">
        <v>1938</v>
      </c>
      <c r="C43" s="391" t="s">
        <v>2</v>
      </c>
      <c r="D43" s="392">
        <f>34.99*N43</f>
        <v>15.725607420706163</v>
      </c>
      <c r="E43" s="392">
        <f>34.99*O43</f>
        <v>19.264392579293833</v>
      </c>
      <c r="F43" s="392">
        <f t="shared" ref="F43:F45" si="60">L43*$J$2</f>
        <v>0</v>
      </c>
      <c r="H43" s="91" t="s">
        <v>100</v>
      </c>
      <c r="J43" s="95">
        <v>15.02</v>
      </c>
      <c r="K43" s="95">
        <v>18.399999999999999</v>
      </c>
      <c r="L43" s="95">
        <v>0</v>
      </c>
      <c r="M43" s="95">
        <f t="shared" si="56"/>
        <v>33.42</v>
      </c>
      <c r="N43" s="91">
        <f t="shared" si="57"/>
        <v>0.4494314781567923</v>
      </c>
      <c r="O43" s="91">
        <f t="shared" si="58"/>
        <v>0.55056852184320759</v>
      </c>
      <c r="P43" s="91">
        <f t="shared" si="59"/>
        <v>0</v>
      </c>
    </row>
    <row r="44" spans="1:16" ht="13.5" x14ac:dyDescent="0.25">
      <c r="A44" s="390">
        <v>89713</v>
      </c>
      <c r="B44" s="390" t="s">
        <v>1939</v>
      </c>
      <c r="C44" s="391" t="s">
        <v>2</v>
      </c>
      <c r="D44" s="392">
        <f>43.32*N44</f>
        <v>18.878920834974398</v>
      </c>
      <c r="E44" s="392">
        <f>43.32*O44</f>
        <v>24.441079165025599</v>
      </c>
      <c r="F44" s="392">
        <f t="shared" si="60"/>
        <v>0</v>
      </c>
      <c r="H44" s="91" t="s">
        <v>100</v>
      </c>
      <c r="J44" s="95">
        <v>22.13</v>
      </c>
      <c r="K44" s="95">
        <v>28.65</v>
      </c>
      <c r="L44" s="95">
        <v>0</v>
      </c>
      <c r="M44" s="95">
        <f t="shared" si="56"/>
        <v>50.78</v>
      </c>
      <c r="N44" s="91">
        <f t="shared" si="57"/>
        <v>0.43580149665222523</v>
      </c>
      <c r="O44" s="91">
        <f t="shared" si="58"/>
        <v>0.56419850334777466</v>
      </c>
      <c r="P44" s="91">
        <f t="shared" si="59"/>
        <v>0</v>
      </c>
    </row>
    <row r="45" spans="1:16" ht="13.5" x14ac:dyDescent="0.25">
      <c r="A45" s="390">
        <v>89714</v>
      </c>
      <c r="B45" s="390" t="s">
        <v>1940</v>
      </c>
      <c r="C45" s="391" t="s">
        <v>2</v>
      </c>
      <c r="D45" s="392">
        <f>48.76*N45</f>
        <v>21.907535341118624</v>
      </c>
      <c r="E45" s="392">
        <f>48.76*O45</f>
        <v>26.852464658881377</v>
      </c>
      <c r="F45" s="392">
        <f t="shared" si="60"/>
        <v>0</v>
      </c>
      <c r="H45" s="91" t="s">
        <v>100</v>
      </c>
      <c r="J45" s="95">
        <v>29.24</v>
      </c>
      <c r="K45" s="95">
        <v>35.840000000000003</v>
      </c>
      <c r="L45" s="95">
        <v>0</v>
      </c>
      <c r="M45" s="95">
        <f t="shared" si="56"/>
        <v>65.08</v>
      </c>
      <c r="N45" s="91">
        <f t="shared" si="57"/>
        <v>0.44929317762753535</v>
      </c>
      <c r="O45" s="91">
        <f t="shared" si="58"/>
        <v>0.55070682237246471</v>
      </c>
      <c r="P45" s="91">
        <f t="shared" si="59"/>
        <v>0</v>
      </c>
    </row>
    <row r="46" spans="1:16" ht="13.5" x14ac:dyDescent="0.25">
      <c r="A46" s="390">
        <v>89987</v>
      </c>
      <c r="B46" s="390" t="s">
        <v>1906</v>
      </c>
      <c r="C46" s="391" t="s">
        <v>3</v>
      </c>
      <c r="D46" s="392">
        <f>82.07*N46</f>
        <v>11.741598031173092</v>
      </c>
      <c r="E46" s="392">
        <f>82.07*O46</f>
        <v>70.328401968826896</v>
      </c>
      <c r="F46" s="392">
        <f t="shared" ref="F46" si="61">L46*$J$2</f>
        <v>0</v>
      </c>
      <c r="H46" s="91" t="s">
        <v>100</v>
      </c>
      <c r="J46" s="95">
        <v>8.7200000000000006</v>
      </c>
      <c r="K46" s="95">
        <v>52.23</v>
      </c>
      <c r="L46" s="95">
        <v>0</v>
      </c>
      <c r="M46" s="95">
        <f t="shared" ref="M46" si="62">SUM(J46:L46)</f>
        <v>60.949999999999996</v>
      </c>
      <c r="N46" s="91">
        <f t="shared" ref="N46" si="63">J46/M46</f>
        <v>0.14306808859721085</v>
      </c>
      <c r="O46" s="91">
        <f t="shared" ref="O46" si="64">K46/M46</f>
        <v>0.85693191140278913</v>
      </c>
      <c r="P46" s="91">
        <f t="shared" ref="P46" si="65">L46/M46</f>
        <v>0</v>
      </c>
    </row>
    <row r="47" spans="1:16" ht="13.5" x14ac:dyDescent="0.25">
      <c r="A47" s="390">
        <v>90408</v>
      </c>
      <c r="B47" s="390" t="s">
        <v>1110</v>
      </c>
      <c r="C47" s="391" t="s">
        <v>57</v>
      </c>
      <c r="D47" s="392">
        <f>43.16*N47</f>
        <v>24.664545454545451</v>
      </c>
      <c r="E47" s="392">
        <f t="shared" ref="E47:F47" si="66">43.16*O47</f>
        <v>18.448181818181812</v>
      </c>
      <c r="F47" s="392">
        <f t="shared" si="66"/>
        <v>4.7272727272727265E-2</v>
      </c>
      <c r="H47" s="91" t="s">
        <v>100</v>
      </c>
      <c r="J47" s="95">
        <v>20.87</v>
      </c>
      <c r="K47" s="95">
        <v>15.61</v>
      </c>
      <c r="L47" s="95">
        <v>0.04</v>
      </c>
      <c r="M47" s="95">
        <f t="shared" ref="M47" si="67">SUM(J47:L47)</f>
        <v>36.520000000000003</v>
      </c>
      <c r="N47" s="91">
        <f t="shared" ref="N47" si="68">J47/M47</f>
        <v>0.57146768893756839</v>
      </c>
      <c r="O47" s="91">
        <f t="shared" ref="O47" si="69">K47/M47</f>
        <v>0.42743702081051471</v>
      </c>
      <c r="P47" s="91">
        <f t="shared" ref="P47" si="70">L47/M47</f>
        <v>1.0952902519167579E-3</v>
      </c>
    </row>
    <row r="48" spans="1:16" ht="13.5" x14ac:dyDescent="0.25">
      <c r="A48" s="390">
        <v>90696</v>
      </c>
      <c r="B48" s="390" t="s">
        <v>1914</v>
      </c>
      <c r="C48" s="391" t="s">
        <v>2</v>
      </c>
      <c r="D48" s="392">
        <f>157.51*N48</f>
        <v>4.7614601454441745</v>
      </c>
      <c r="E48" s="392">
        <f t="shared" ref="E48:F48" si="71">157.51*O48</f>
        <v>152.74853985455582</v>
      </c>
      <c r="F48" s="392">
        <f t="shared" si="71"/>
        <v>0</v>
      </c>
      <c r="H48" s="91" t="s">
        <v>100</v>
      </c>
      <c r="J48" s="95">
        <v>4.24</v>
      </c>
      <c r="K48" s="95">
        <v>136.02000000000001</v>
      </c>
      <c r="L48" s="95">
        <v>0</v>
      </c>
      <c r="M48" s="95">
        <f t="shared" ref="M48" si="72">SUM(J48:L48)</f>
        <v>140.26000000000002</v>
      </c>
      <c r="N48" s="91">
        <f t="shared" ref="N48" si="73">J48/M48</f>
        <v>3.0229573648937684E-2</v>
      </c>
      <c r="O48" s="91">
        <f t="shared" ref="O48" si="74">K48/M48</f>
        <v>0.96977042635106225</v>
      </c>
      <c r="P48" s="91">
        <f t="shared" ref="P48" si="75">L48/M48</f>
        <v>0</v>
      </c>
    </row>
    <row r="49" spans="1:17" ht="13.5" x14ac:dyDescent="0.25">
      <c r="A49" s="390">
        <v>90698</v>
      </c>
      <c r="B49" s="390" t="s">
        <v>1915</v>
      </c>
      <c r="C49" s="391" t="s">
        <v>2</v>
      </c>
      <c r="D49" s="392">
        <f>370.89*N49</f>
        <v>5.3093844440909823</v>
      </c>
      <c r="E49" s="392">
        <f>370.89*O49</f>
        <v>365.58061555590905</v>
      </c>
      <c r="F49" s="392">
        <f t="shared" ref="F49:F53" si="76">L49*$J$2</f>
        <v>0</v>
      </c>
      <c r="H49" s="91" t="s">
        <v>100</v>
      </c>
      <c r="J49" s="95">
        <v>5.4</v>
      </c>
      <c r="K49" s="95">
        <v>371.82</v>
      </c>
      <c r="L49" s="95">
        <v>0</v>
      </c>
      <c r="M49" s="95">
        <f t="shared" ref="M49:M53" si="77">SUM(J49:L49)</f>
        <v>377.21999999999997</v>
      </c>
      <c r="N49" s="91">
        <f t="shared" ref="N49:N53" si="78">J49/M49</f>
        <v>1.4315253698107207E-2</v>
      </c>
      <c r="O49" s="91">
        <f t="shared" ref="O49:O53" si="79">K49/M49</f>
        <v>0.98568474630189284</v>
      </c>
      <c r="P49" s="91">
        <f t="shared" ref="P49:P53" si="80">L49/M49</f>
        <v>0</v>
      </c>
    </row>
    <row r="50" spans="1:17" ht="13.5" x14ac:dyDescent="0.25">
      <c r="A50" s="390">
        <v>90778</v>
      </c>
      <c r="B50" s="390" t="s">
        <v>96</v>
      </c>
      <c r="C50" s="391" t="s">
        <v>48</v>
      </c>
      <c r="D50" s="392">
        <f>161.52*N50</f>
        <v>159.50606752489676</v>
      </c>
      <c r="E50" s="392">
        <f>161.52*O50</f>
        <v>2.0139324751032306</v>
      </c>
      <c r="F50" s="392">
        <f t="shared" si="76"/>
        <v>0</v>
      </c>
      <c r="H50" s="91" t="s">
        <v>100</v>
      </c>
      <c r="J50" s="95">
        <v>121.97</v>
      </c>
      <c r="K50" s="95">
        <v>1.54</v>
      </c>
      <c r="L50" s="95">
        <v>0</v>
      </c>
      <c r="M50" s="95">
        <f t="shared" si="77"/>
        <v>123.51</v>
      </c>
      <c r="N50" s="91">
        <f t="shared" si="78"/>
        <v>0.98753137397781554</v>
      </c>
      <c r="O50" s="91">
        <f t="shared" si="79"/>
        <v>1.2468626022184438E-2</v>
      </c>
      <c r="P50" s="91">
        <f t="shared" si="80"/>
        <v>0</v>
      </c>
    </row>
    <row r="51" spans="1:17" ht="13.5" x14ac:dyDescent="0.25">
      <c r="A51" s="390">
        <v>90779</v>
      </c>
      <c r="B51" s="390" t="s">
        <v>97</v>
      </c>
      <c r="C51" s="391" t="s">
        <v>48</v>
      </c>
      <c r="D51" s="392">
        <f>179.38*N51</f>
        <v>177.73841930116473</v>
      </c>
      <c r="E51" s="392">
        <f>179.38*O51</f>
        <v>1.6415806988352746</v>
      </c>
      <c r="F51" s="392">
        <f t="shared" si="76"/>
        <v>0</v>
      </c>
      <c r="H51" s="91" t="s">
        <v>100</v>
      </c>
      <c r="J51" s="95">
        <v>166.74</v>
      </c>
      <c r="K51" s="95">
        <v>1.54</v>
      </c>
      <c r="L51" s="95">
        <v>0</v>
      </c>
      <c r="M51" s="95">
        <f t="shared" si="77"/>
        <v>168.28</v>
      </c>
      <c r="N51" s="91">
        <f t="shared" si="78"/>
        <v>0.99084858569051582</v>
      </c>
      <c r="O51" s="91">
        <f t="shared" si="79"/>
        <v>9.1514143094841936E-3</v>
      </c>
      <c r="P51" s="91">
        <f t="shared" si="80"/>
        <v>0</v>
      </c>
    </row>
    <row r="52" spans="1:17" ht="13.5" x14ac:dyDescent="0.25">
      <c r="A52" s="390">
        <v>90791</v>
      </c>
      <c r="B52" s="390" t="s">
        <v>1400</v>
      </c>
      <c r="C52" s="391" t="s">
        <v>3</v>
      </c>
      <c r="D52" s="392">
        <f>1208.38*N52</f>
        <v>30.179333106849096</v>
      </c>
      <c r="E52" s="392">
        <f>1208.38*O52</f>
        <v>1178.200666893151</v>
      </c>
      <c r="F52" s="392">
        <f t="shared" si="76"/>
        <v>0</v>
      </c>
      <c r="H52" s="91" t="s">
        <v>100</v>
      </c>
      <c r="J52" s="95">
        <v>24.26</v>
      </c>
      <c r="K52" s="95">
        <v>947.11</v>
      </c>
      <c r="L52" s="95">
        <v>0</v>
      </c>
      <c r="M52" s="95">
        <f t="shared" si="77"/>
        <v>971.37</v>
      </c>
      <c r="N52" s="91">
        <f t="shared" si="78"/>
        <v>2.4975035259478882E-2</v>
      </c>
      <c r="O52" s="91">
        <f t="shared" si="79"/>
        <v>0.97502496474052114</v>
      </c>
      <c r="P52" s="91">
        <f t="shared" si="80"/>
        <v>0</v>
      </c>
    </row>
    <row r="53" spans="1:17" ht="13.5" x14ac:dyDescent="0.25">
      <c r="A53" s="390">
        <v>90793</v>
      </c>
      <c r="B53" s="390" t="s">
        <v>1401</v>
      </c>
      <c r="C53" s="391" t="s">
        <v>3</v>
      </c>
      <c r="D53" s="392">
        <f>1264.88*N53</f>
        <v>36.829020041304283</v>
      </c>
      <c r="E53" s="392">
        <f>1264.88*O53</f>
        <v>1228.0509799586957</v>
      </c>
      <c r="F53" s="392">
        <f t="shared" si="76"/>
        <v>0</v>
      </c>
      <c r="H53" s="91" t="s">
        <v>100</v>
      </c>
      <c r="J53" s="95">
        <v>30.03</v>
      </c>
      <c r="K53" s="95">
        <v>1001.34</v>
      </c>
      <c r="L53" s="95">
        <v>0</v>
      </c>
      <c r="M53" s="95">
        <f t="shared" si="77"/>
        <v>1031.3700000000001</v>
      </c>
      <c r="N53" s="91">
        <f t="shared" si="78"/>
        <v>2.9116611885162451E-2</v>
      </c>
      <c r="O53" s="91">
        <f t="shared" si="79"/>
        <v>0.97088338811483743</v>
      </c>
      <c r="P53" s="91">
        <f t="shared" si="80"/>
        <v>0</v>
      </c>
    </row>
    <row r="54" spans="1:17" ht="13.5" x14ac:dyDescent="0.25">
      <c r="A54" s="390">
        <v>90838</v>
      </c>
      <c r="B54" s="390" t="s">
        <v>1868</v>
      </c>
      <c r="C54" s="391" t="s">
        <v>3</v>
      </c>
      <c r="D54" s="392">
        <f>1735.34*N54</f>
        <v>127.50822046481812</v>
      </c>
      <c r="E54" s="392">
        <f>1735.34*O54</f>
        <v>1607.831779535182</v>
      </c>
      <c r="F54" s="392">
        <f t="shared" ref="F54" si="81">L54*$J$2</f>
        <v>0</v>
      </c>
      <c r="H54" s="91" t="s">
        <v>100</v>
      </c>
      <c r="J54" s="95">
        <v>112.33</v>
      </c>
      <c r="K54" s="95">
        <v>1416.44</v>
      </c>
      <c r="L54" s="95">
        <v>0</v>
      </c>
      <c r="M54" s="95">
        <f t="shared" ref="M54" si="82">SUM(J54:L54)</f>
        <v>1528.77</v>
      </c>
      <c r="N54" s="91">
        <f t="shared" ref="N54" si="83">J54/M54</f>
        <v>7.3477370696703889E-2</v>
      </c>
      <c r="O54" s="91">
        <f t="shared" ref="O54" si="84">K54/M54</f>
        <v>0.92652262930329621</v>
      </c>
      <c r="P54" s="91">
        <f t="shared" ref="P54" si="85">L54/M54</f>
        <v>0</v>
      </c>
    </row>
    <row r="55" spans="1:17" ht="13.5" x14ac:dyDescent="0.25">
      <c r="A55" s="390">
        <v>104421</v>
      </c>
      <c r="B55" s="390" t="s">
        <v>1415</v>
      </c>
      <c r="C55" s="391" t="s">
        <v>57</v>
      </c>
      <c r="D55" s="392">
        <f>19.94*N55</f>
        <v>14.705603296056504</v>
      </c>
      <c r="E55" s="392">
        <f>19.94*O55</f>
        <v>5.2343967039434967</v>
      </c>
      <c r="F55" s="392">
        <f t="shared" ref="F55" si="86">L55*$J$2</f>
        <v>0</v>
      </c>
      <c r="H55" s="91" t="s">
        <v>100</v>
      </c>
      <c r="J55" s="95">
        <v>12.53</v>
      </c>
      <c r="K55" s="95">
        <v>4.46</v>
      </c>
      <c r="L55" s="95">
        <v>0</v>
      </c>
      <c r="M55" s="95">
        <f t="shared" ref="M55" si="87">SUM(J55:L55)</f>
        <v>16.989999999999998</v>
      </c>
      <c r="N55" s="91">
        <f t="shared" ref="N55" si="88">J55/M55</f>
        <v>0.73749264273101822</v>
      </c>
      <c r="O55" s="91">
        <f t="shared" ref="O55" si="89">K55/M55</f>
        <v>0.26250735726898178</v>
      </c>
      <c r="P55" s="91">
        <f t="shared" ref="P55" si="90">L55/M55</f>
        <v>0</v>
      </c>
    </row>
    <row r="56" spans="1:17" ht="13.5" x14ac:dyDescent="0.25">
      <c r="A56" s="390">
        <v>91859</v>
      </c>
      <c r="B56" s="390" t="s">
        <v>2288</v>
      </c>
      <c r="C56" s="391" t="s">
        <v>2</v>
      </c>
      <c r="D56" s="392">
        <f>13.82*N56</f>
        <v>7.1976816326530617</v>
      </c>
      <c r="E56" s="392">
        <f>13.82*O56</f>
        <v>6.6223183673469395</v>
      </c>
      <c r="F56" s="392">
        <f t="shared" ref="F56" si="91">L56*$J$2</f>
        <v>0</v>
      </c>
      <c r="H56" s="91" t="s">
        <v>100</v>
      </c>
      <c r="J56" s="95">
        <v>6.38</v>
      </c>
      <c r="K56" s="95">
        <v>5.87</v>
      </c>
      <c r="L56" s="95">
        <v>0</v>
      </c>
      <c r="M56" s="95">
        <f t="shared" ref="M56" si="92">SUM(J56:L56)</f>
        <v>12.25</v>
      </c>
      <c r="N56" s="91">
        <f t="shared" ref="N56" si="93">J56/M56</f>
        <v>0.52081632653061227</v>
      </c>
      <c r="O56" s="91">
        <f t="shared" ref="O56" si="94">K56/M56</f>
        <v>0.47918367346938778</v>
      </c>
      <c r="P56" s="91">
        <f t="shared" ref="P56" si="95">L56/M56</f>
        <v>0</v>
      </c>
    </row>
    <row r="57" spans="1:17" ht="13.5" x14ac:dyDescent="0.25">
      <c r="A57" s="390">
        <v>92280</v>
      </c>
      <c r="B57" s="390" t="s">
        <v>1933</v>
      </c>
      <c r="C57" s="391" t="s">
        <v>2</v>
      </c>
      <c r="D57" s="392">
        <f>302.68*N57</f>
        <v>4.115468574984444</v>
      </c>
      <c r="E57" s="392">
        <f>302.68*O57</f>
        <v>298.56453142501556</v>
      </c>
      <c r="F57" s="392">
        <f t="shared" ref="F57" si="96">L57*$J$2</f>
        <v>0</v>
      </c>
      <c r="H57" s="91" t="s">
        <v>100</v>
      </c>
      <c r="J57" s="95">
        <v>4.37</v>
      </c>
      <c r="K57" s="95">
        <v>317.02999999999997</v>
      </c>
      <c r="L57" s="95">
        <v>0</v>
      </c>
      <c r="M57" s="95">
        <f t="shared" ref="M57" si="97">SUM(J57:L57)</f>
        <v>321.39999999999998</v>
      </c>
      <c r="N57" s="91">
        <f t="shared" ref="N57" si="98">J57/M57</f>
        <v>1.3596764156813941E-2</v>
      </c>
      <c r="O57" s="91">
        <f t="shared" ref="O57" si="99">K57/M57</f>
        <v>0.98640323584318601</v>
      </c>
      <c r="P57" s="91">
        <f t="shared" ref="P57" si="100">L57/M57</f>
        <v>0</v>
      </c>
    </row>
    <row r="58" spans="1:17" ht="13.5" x14ac:dyDescent="0.25">
      <c r="A58" s="390">
        <v>92406</v>
      </c>
      <c r="B58" s="390" t="s">
        <v>1123</v>
      </c>
      <c r="C58" s="391" t="s">
        <v>57</v>
      </c>
      <c r="D58" s="392">
        <f>166.7*N58</f>
        <v>24.303793176520443</v>
      </c>
      <c r="E58" s="392">
        <f t="shared" ref="E58:F58" si="101">166.7*O58</f>
        <v>141.98996609451152</v>
      </c>
      <c r="F58" s="392">
        <f t="shared" si="101"/>
        <v>0.40624072896800162</v>
      </c>
      <c r="H58" s="91" t="s">
        <v>100</v>
      </c>
      <c r="J58" s="95">
        <v>13.76</v>
      </c>
      <c r="K58" s="95">
        <v>80.39</v>
      </c>
      <c r="L58" s="95">
        <v>0.23</v>
      </c>
      <c r="M58" s="95">
        <f t="shared" ref="M58" si="102">SUM(J58:L58)</f>
        <v>94.38000000000001</v>
      </c>
      <c r="N58" s="91">
        <f t="shared" ref="N58" si="103">J58/M58</f>
        <v>0.14579360033905486</v>
      </c>
      <c r="O58" s="91">
        <f t="shared" ref="O58" si="104">K58/M58</f>
        <v>0.85176944267853349</v>
      </c>
      <c r="P58" s="91">
        <f t="shared" ref="P58" si="105">L58/M58</f>
        <v>2.4369569824115277E-3</v>
      </c>
    </row>
    <row r="59" spans="1:17" ht="13.5" x14ac:dyDescent="0.25">
      <c r="A59" s="390">
        <v>93205</v>
      </c>
      <c r="B59" s="390" t="s">
        <v>1185</v>
      </c>
      <c r="C59" s="391" t="s">
        <v>2</v>
      </c>
      <c r="D59" s="392">
        <f>76.1*N59</f>
        <v>17.923166023166022</v>
      </c>
      <c r="E59" s="392">
        <f t="shared" ref="E59:F59" si="106">76.1*O59</f>
        <v>58.157245817245816</v>
      </c>
      <c r="F59" s="392">
        <f t="shared" si="106"/>
        <v>1.9588159588159584E-2</v>
      </c>
      <c r="H59" s="91" t="s">
        <v>100</v>
      </c>
      <c r="J59" s="95">
        <v>9.15</v>
      </c>
      <c r="K59" s="95">
        <v>29.69</v>
      </c>
      <c r="L59" s="95">
        <v>0.01</v>
      </c>
      <c r="M59" s="95">
        <f t="shared" ref="M59" si="107">SUM(J59:L59)</f>
        <v>38.85</v>
      </c>
      <c r="N59" s="91">
        <f t="shared" ref="N59" si="108">J59/M59</f>
        <v>0.23552123552123552</v>
      </c>
      <c r="O59" s="91">
        <f t="shared" ref="O59" si="109">K59/M59</f>
        <v>0.76422136422136422</v>
      </c>
      <c r="P59" s="91">
        <f t="shared" ref="P59" si="110">L59/M59</f>
        <v>2.5740025740025738E-4</v>
      </c>
    </row>
    <row r="60" spans="1:17" ht="13.5" x14ac:dyDescent="0.25">
      <c r="A60" s="390">
        <v>93243</v>
      </c>
      <c r="B60" s="390" t="s">
        <v>1072</v>
      </c>
      <c r="C60" s="391" t="s">
        <v>3</v>
      </c>
      <c r="D60" s="392">
        <f>J60*$Q$60</f>
        <v>626.19046100000003</v>
      </c>
      <c r="E60" s="392">
        <f t="shared" ref="E60:F60" si="111">K60*$Q$60</f>
        <v>12565.554396</v>
      </c>
      <c r="F60" s="392">
        <f t="shared" si="111"/>
        <v>0.25642000000000004</v>
      </c>
      <c r="H60" s="91" t="s">
        <v>100</v>
      </c>
      <c r="J60" s="95">
        <v>488.41</v>
      </c>
      <c r="K60" s="95">
        <v>9800.76</v>
      </c>
      <c r="L60" s="95">
        <v>0.2</v>
      </c>
      <c r="M60" s="95">
        <f t="shared" ref="M60:M63" si="112">SUM(J60:L60)</f>
        <v>10289.370000000001</v>
      </c>
      <c r="N60" s="91">
        <f t="shared" ref="N60:N63" si="113">J60/M60</f>
        <v>4.7467434838090183E-2</v>
      </c>
      <c r="O60" s="91">
        <f t="shared" ref="O60:O63" si="114">K60/M60</f>
        <v>0.95251312762588958</v>
      </c>
      <c r="P60" s="91">
        <f t="shared" ref="P60:P63" si="115">L60/M60</f>
        <v>1.9437536020183938E-5</v>
      </c>
      <c r="Q60" s="91">
        <v>1.2821</v>
      </c>
    </row>
    <row r="61" spans="1:17" ht="13.5" x14ac:dyDescent="0.25">
      <c r="A61" s="390">
        <v>93358</v>
      </c>
      <c r="B61" s="390" t="s">
        <v>1081</v>
      </c>
      <c r="C61" s="391" t="s">
        <v>58</v>
      </c>
      <c r="D61" s="392">
        <f>127.05*N61</f>
        <v>87.021474188398088</v>
      </c>
      <c r="E61" s="392">
        <f>127.05*O61</f>
        <v>40.028525811601924</v>
      </c>
      <c r="F61" s="392">
        <f t="shared" ref="F61" si="116">L61*$J$2</f>
        <v>0</v>
      </c>
      <c r="H61" s="91" t="s">
        <v>100</v>
      </c>
      <c r="J61" s="95">
        <v>64.349999999999994</v>
      </c>
      <c r="K61" s="95">
        <v>29.6</v>
      </c>
      <c r="L61" s="95">
        <v>0</v>
      </c>
      <c r="M61" s="95">
        <f t="shared" si="112"/>
        <v>93.949999999999989</v>
      </c>
      <c r="N61" s="91">
        <f t="shared" si="113"/>
        <v>0.68493879723257056</v>
      </c>
      <c r="O61" s="91">
        <f t="shared" si="114"/>
        <v>0.31506120276742955</v>
      </c>
      <c r="P61" s="91">
        <f t="shared" si="115"/>
        <v>0</v>
      </c>
    </row>
    <row r="62" spans="1:17" ht="13.5" x14ac:dyDescent="0.25">
      <c r="A62" s="390">
        <v>93372</v>
      </c>
      <c r="B62" s="390" t="s">
        <v>2336</v>
      </c>
      <c r="C62" s="391" t="s">
        <v>58</v>
      </c>
      <c r="D62" s="392">
        <f>20.43*N62</f>
        <v>5.6710862068965513</v>
      </c>
      <c r="E62" s="392">
        <f t="shared" ref="E62:F62" si="117">20.43*O62</f>
        <v>6.0585517241379305</v>
      </c>
      <c r="F62" s="392">
        <f t="shared" si="117"/>
        <v>8.7003620689655161</v>
      </c>
      <c r="H62" s="91" t="s">
        <v>100</v>
      </c>
      <c r="J62" s="95">
        <v>3.22</v>
      </c>
      <c r="K62" s="95">
        <v>3.44</v>
      </c>
      <c r="L62" s="95">
        <v>4.9400000000000004</v>
      </c>
      <c r="M62" s="95">
        <f t="shared" si="112"/>
        <v>11.600000000000001</v>
      </c>
      <c r="N62" s="91">
        <f t="shared" si="113"/>
        <v>0.27758620689655172</v>
      </c>
      <c r="O62" s="91">
        <f t="shared" si="114"/>
        <v>0.29655172413793102</v>
      </c>
      <c r="P62" s="91">
        <f t="shared" si="115"/>
        <v>0.4258620689655172</v>
      </c>
    </row>
    <row r="63" spans="1:17" ht="13.5" x14ac:dyDescent="0.25">
      <c r="A63" s="390">
        <v>93382</v>
      </c>
      <c r="B63" s="390" t="s">
        <v>1084</v>
      </c>
      <c r="C63" s="391" t="s">
        <v>58</v>
      </c>
      <c r="D63" s="392">
        <f>37.87*N63</f>
        <v>25.437729645093942</v>
      </c>
      <c r="E63" s="392">
        <f t="shared" ref="E63:F63" si="118">37.87*O63</f>
        <v>11.335305323590813</v>
      </c>
      <c r="F63" s="392">
        <f t="shared" si="118"/>
        <v>1.0969650313152401</v>
      </c>
      <c r="H63" s="91" t="s">
        <v>100</v>
      </c>
      <c r="J63" s="95">
        <v>25.74</v>
      </c>
      <c r="K63" s="95">
        <v>11.47</v>
      </c>
      <c r="L63" s="95">
        <v>1.1100000000000001</v>
      </c>
      <c r="M63" s="95">
        <f t="shared" si="112"/>
        <v>38.32</v>
      </c>
      <c r="N63" s="91">
        <f t="shared" si="113"/>
        <v>0.67171189979123169</v>
      </c>
      <c r="O63" s="91">
        <f t="shared" si="114"/>
        <v>0.299321503131524</v>
      </c>
      <c r="P63" s="91">
        <f t="shared" si="115"/>
        <v>2.896659707724426E-2</v>
      </c>
    </row>
    <row r="64" spans="1:17" ht="13.5" x14ac:dyDescent="0.25">
      <c r="A64" s="390">
        <v>93563</v>
      </c>
      <c r="B64" s="390" t="s">
        <v>77</v>
      </c>
      <c r="C64" s="391" t="s">
        <v>24</v>
      </c>
      <c r="D64" s="392">
        <f>7519.66*N64</f>
        <v>7054.766666436024</v>
      </c>
      <c r="E64" s="392">
        <f>7519.66*O64</f>
        <v>464.89333356397577</v>
      </c>
      <c r="F64" s="392">
        <f t="shared" ref="F64:F68" si="119">L64*$J$2</f>
        <v>0</v>
      </c>
      <c r="H64" s="91" t="s">
        <v>100</v>
      </c>
      <c r="J64" s="95">
        <v>4610.0200000000004</v>
      </c>
      <c r="K64" s="95">
        <v>303.79000000000002</v>
      </c>
      <c r="L64" s="95">
        <v>0</v>
      </c>
      <c r="M64" s="95">
        <f t="shared" ref="M64:M72" si="120">SUM(J64:L64)</f>
        <v>4913.8100000000004</v>
      </c>
      <c r="N64" s="91">
        <f t="shared" ref="N64:N72" si="121">J64/M64</f>
        <v>0.93817628276225573</v>
      </c>
      <c r="O64" s="91">
        <f t="shared" ref="O64:O72" si="122">K64/M64</f>
        <v>6.1823717237744234E-2</v>
      </c>
      <c r="P64" s="91">
        <f t="shared" ref="P64:P72" si="123">L64/M64</f>
        <v>0</v>
      </c>
    </row>
    <row r="65" spans="1:17" ht="13.5" x14ac:dyDescent="0.25">
      <c r="A65" s="390">
        <v>93566</v>
      </c>
      <c r="B65" s="390" t="s">
        <v>123</v>
      </c>
      <c r="C65" s="391" t="s">
        <v>24</v>
      </c>
      <c r="D65" s="392">
        <f>5972.67*N65</f>
        <v>5507.3174741860857</v>
      </c>
      <c r="E65" s="392">
        <f>5972.67*O65</f>
        <v>465.35252581391416</v>
      </c>
      <c r="F65" s="392">
        <f t="shared" si="119"/>
        <v>0</v>
      </c>
      <c r="H65" s="91" t="s">
        <v>100</v>
      </c>
      <c r="J65" s="95">
        <v>3595.27</v>
      </c>
      <c r="K65" s="95">
        <v>303.79000000000002</v>
      </c>
      <c r="L65" s="95">
        <v>0</v>
      </c>
      <c r="M65" s="95">
        <f t="shared" si="120"/>
        <v>3899.06</v>
      </c>
      <c r="N65" s="91">
        <f t="shared" si="121"/>
        <v>0.92208634901745545</v>
      </c>
      <c r="O65" s="91">
        <f t="shared" si="122"/>
        <v>7.7913650982544519E-2</v>
      </c>
      <c r="P65" s="91">
        <f t="shared" si="123"/>
        <v>0</v>
      </c>
    </row>
    <row r="66" spans="1:17" ht="13.5" x14ac:dyDescent="0.25">
      <c r="A66" s="390">
        <v>93567</v>
      </c>
      <c r="B66" s="390" t="s">
        <v>120</v>
      </c>
      <c r="C66" s="391" t="s">
        <v>24</v>
      </c>
      <c r="D66" s="392">
        <f>27929.95*N66</f>
        <v>27556.423340791644</v>
      </c>
      <c r="E66" s="392">
        <f>27929.95*O66</f>
        <v>373.52665920835693</v>
      </c>
      <c r="F66" s="392">
        <f t="shared" si="119"/>
        <v>0</v>
      </c>
      <c r="H66" s="91" t="s">
        <v>100</v>
      </c>
      <c r="J66" s="95">
        <v>21364.11</v>
      </c>
      <c r="K66" s="95">
        <v>289.58999999999997</v>
      </c>
      <c r="L66" s="95">
        <v>0</v>
      </c>
      <c r="M66" s="95">
        <f t="shared" si="120"/>
        <v>21653.7</v>
      </c>
      <c r="N66" s="91">
        <f t="shared" si="121"/>
        <v>0.98662630404965435</v>
      </c>
      <c r="O66" s="91">
        <f t="shared" si="122"/>
        <v>1.3373695950345666E-2</v>
      </c>
      <c r="P66" s="91">
        <f t="shared" si="123"/>
        <v>0</v>
      </c>
    </row>
    <row r="67" spans="1:17" ht="13.5" x14ac:dyDescent="0.25">
      <c r="A67" s="390">
        <v>93568</v>
      </c>
      <c r="B67" s="390" t="s">
        <v>119</v>
      </c>
      <c r="C67" s="391" t="s">
        <v>24</v>
      </c>
      <c r="D67" s="392">
        <f>31022.8*N67</f>
        <v>30718.196628165839</v>
      </c>
      <c r="E67" s="392">
        <f>K67*$J$2</f>
        <v>289.58999999999997</v>
      </c>
      <c r="F67" s="392">
        <f t="shared" si="119"/>
        <v>0</v>
      </c>
      <c r="H67" s="91" t="s">
        <v>100</v>
      </c>
      <c r="J67" s="95">
        <v>29204.15</v>
      </c>
      <c r="K67" s="95">
        <v>289.58999999999997</v>
      </c>
      <c r="L67" s="95">
        <v>0</v>
      </c>
      <c r="M67" s="95">
        <f t="shared" si="120"/>
        <v>29493.74</v>
      </c>
      <c r="N67" s="91">
        <f t="shared" si="121"/>
        <v>0.99018130627041534</v>
      </c>
      <c r="O67" s="91">
        <f t="shared" si="122"/>
        <v>9.8186937295846495E-3</v>
      </c>
      <c r="P67" s="91">
        <f t="shared" si="123"/>
        <v>0</v>
      </c>
    </row>
    <row r="68" spans="1:17" ht="13.5" x14ac:dyDescent="0.25">
      <c r="A68" s="390">
        <v>93572</v>
      </c>
      <c r="B68" s="390" t="s">
        <v>122</v>
      </c>
      <c r="C68" s="391" t="s">
        <v>24</v>
      </c>
      <c r="D68" s="392">
        <f>10163.89*N68</f>
        <v>9598.2998379949913</v>
      </c>
      <c r="E68" s="392">
        <f>10163.89*O68</f>
        <v>565.59016200500673</v>
      </c>
      <c r="F68" s="392">
        <f t="shared" si="119"/>
        <v>0</v>
      </c>
      <c r="H68" s="91" t="s">
        <v>100</v>
      </c>
      <c r="J68" s="95">
        <v>6544.98</v>
      </c>
      <c r="K68" s="95">
        <v>385.67</v>
      </c>
      <c r="L68" s="95">
        <v>0</v>
      </c>
      <c r="M68" s="95">
        <f t="shared" si="120"/>
        <v>6930.65</v>
      </c>
      <c r="N68" s="91">
        <f t="shared" si="121"/>
        <v>0.94435298276496427</v>
      </c>
      <c r="O68" s="91">
        <f t="shared" si="122"/>
        <v>5.5647017235035678E-2</v>
      </c>
      <c r="P68" s="91">
        <f t="shared" si="123"/>
        <v>0</v>
      </c>
    </row>
    <row r="69" spans="1:17" ht="13.5" x14ac:dyDescent="0.25">
      <c r="A69" s="390">
        <v>93582</v>
      </c>
      <c r="B69" s="390" t="s">
        <v>1073</v>
      </c>
      <c r="C69" s="391" t="s">
        <v>57</v>
      </c>
      <c r="D69" s="392">
        <f>J69*$Q$69</f>
        <v>73.874601999999996</v>
      </c>
      <c r="E69" s="392">
        <f t="shared" ref="E69:F69" si="124">K69*$Q$69</f>
        <v>307.58861100000001</v>
      </c>
      <c r="F69" s="392">
        <f t="shared" si="124"/>
        <v>0.29488300000000001</v>
      </c>
      <c r="H69" s="91" t="s">
        <v>100</v>
      </c>
      <c r="J69" s="95">
        <v>57.62</v>
      </c>
      <c r="K69" s="95">
        <v>239.91</v>
      </c>
      <c r="L69" s="95">
        <v>0.23</v>
      </c>
      <c r="M69" s="95">
        <f t="shared" si="120"/>
        <v>297.76</v>
      </c>
      <c r="N69" s="91">
        <f t="shared" si="121"/>
        <v>0.19351155292853303</v>
      </c>
      <c r="O69" s="91">
        <f t="shared" si="122"/>
        <v>0.80571601289629236</v>
      </c>
      <c r="P69" s="91">
        <f t="shared" si="123"/>
        <v>7.7243417517463739E-4</v>
      </c>
      <c r="Q69" s="91">
        <v>1.2821</v>
      </c>
    </row>
    <row r="70" spans="1:17" ht="13.5" x14ac:dyDescent="0.25">
      <c r="A70" s="390">
        <v>93583</v>
      </c>
      <c r="B70" s="390" t="s">
        <v>1074</v>
      </c>
      <c r="C70" s="391" t="s">
        <v>57</v>
      </c>
      <c r="D70" s="392">
        <f t="shared" ref="D70:D71" si="125">J70*$Q$69</f>
        <v>122.40208699999999</v>
      </c>
      <c r="E70" s="392">
        <f t="shared" ref="E70:E72" si="126">K70*$Q$69</f>
        <v>492.89052400000003</v>
      </c>
      <c r="F70" s="392">
        <f t="shared" ref="F70:F72" si="127">L70*$Q$69</f>
        <v>0.50001899999999999</v>
      </c>
      <c r="H70" s="91" t="s">
        <v>100</v>
      </c>
      <c r="J70" s="95">
        <v>95.47</v>
      </c>
      <c r="K70" s="95">
        <v>384.44</v>
      </c>
      <c r="L70" s="95">
        <v>0.39</v>
      </c>
      <c r="M70" s="95">
        <f t="shared" si="120"/>
        <v>480.29999999999995</v>
      </c>
      <c r="N70" s="91">
        <f t="shared" si="121"/>
        <v>0.19877160108265668</v>
      </c>
      <c r="O70" s="91">
        <f t="shared" si="122"/>
        <v>0.80041640641265888</v>
      </c>
      <c r="P70" s="91">
        <f t="shared" si="123"/>
        <v>8.1199250468457222E-4</v>
      </c>
    </row>
    <row r="71" spans="1:17" ht="13.5" x14ac:dyDescent="0.25">
      <c r="A71" s="390">
        <v>93584</v>
      </c>
      <c r="B71" s="390" t="s">
        <v>1075</v>
      </c>
      <c r="C71" s="391" t="s">
        <v>57</v>
      </c>
      <c r="D71" s="392">
        <f t="shared" si="125"/>
        <v>232.18831</v>
      </c>
      <c r="E71" s="392">
        <f t="shared" si="126"/>
        <v>999.3200240000001</v>
      </c>
      <c r="F71" s="392">
        <f t="shared" si="127"/>
        <v>0.41027200000000003</v>
      </c>
      <c r="H71" s="91" t="s">
        <v>100</v>
      </c>
      <c r="J71" s="95">
        <v>181.1</v>
      </c>
      <c r="K71" s="95">
        <v>779.44</v>
      </c>
      <c r="L71" s="95">
        <v>0.32</v>
      </c>
      <c r="M71" s="95">
        <f t="shared" si="120"/>
        <v>960.86000000000013</v>
      </c>
      <c r="N71" s="91">
        <f t="shared" si="121"/>
        <v>0.188476989363695</v>
      </c>
      <c r="O71" s="91">
        <f t="shared" si="122"/>
        <v>0.81118997564681639</v>
      </c>
      <c r="P71" s="91">
        <f t="shared" si="123"/>
        <v>3.3303498948858309E-4</v>
      </c>
    </row>
    <row r="72" spans="1:17" ht="13.5" x14ac:dyDescent="0.25">
      <c r="A72" s="390">
        <v>93585</v>
      </c>
      <c r="B72" s="390" t="s">
        <v>1076</v>
      </c>
      <c r="C72" s="391" t="s">
        <v>57</v>
      </c>
      <c r="D72" s="392">
        <f>J72*$Q$69</f>
        <v>274.54889399999996</v>
      </c>
      <c r="E72" s="392">
        <f t="shared" si="126"/>
        <v>1395.1042940000002</v>
      </c>
      <c r="F72" s="392">
        <f t="shared" si="127"/>
        <v>0.28206199999999998</v>
      </c>
      <c r="H72" s="91" t="s">
        <v>100</v>
      </c>
      <c r="J72" s="95">
        <v>214.14</v>
      </c>
      <c r="K72" s="95">
        <v>1088.1400000000001</v>
      </c>
      <c r="L72" s="95">
        <v>0.22</v>
      </c>
      <c r="M72" s="95">
        <f t="shared" si="120"/>
        <v>1302.5000000000002</v>
      </c>
      <c r="N72" s="91">
        <f t="shared" si="121"/>
        <v>0.16440690978886752</v>
      </c>
      <c r="O72" s="91">
        <f t="shared" si="122"/>
        <v>0.83542418426103637</v>
      </c>
      <c r="P72" s="91">
        <f t="shared" si="123"/>
        <v>1.6890595009596925E-4</v>
      </c>
    </row>
    <row r="73" spans="1:17" ht="13.5" x14ac:dyDescent="0.25">
      <c r="A73" s="390">
        <v>94275</v>
      </c>
      <c r="B73" s="390" t="s">
        <v>1124</v>
      </c>
      <c r="C73" s="391" t="s">
        <v>2</v>
      </c>
      <c r="D73" s="392">
        <f>53.7*N73</f>
        <v>12.780111242204617</v>
      </c>
      <c r="E73" s="392">
        <f>53.7*O73</f>
        <v>40.919888757795384</v>
      </c>
      <c r="F73" s="392">
        <f t="shared" ref="F73:F78" si="128">L73*$J$2</f>
        <v>0</v>
      </c>
      <c r="H73" s="91" t="s">
        <v>100</v>
      </c>
      <c r="J73" s="95">
        <v>14.12</v>
      </c>
      <c r="K73" s="95">
        <v>45.21</v>
      </c>
      <c r="L73" s="95">
        <v>0</v>
      </c>
      <c r="M73" s="95">
        <f t="shared" ref="M73:M78" si="129">SUM(J73:L73)</f>
        <v>59.33</v>
      </c>
      <c r="N73" s="91">
        <f t="shared" ref="N73:N78" si="130">J73/M73</f>
        <v>0.23799089836507667</v>
      </c>
      <c r="O73" s="91">
        <f t="shared" ref="O73:O78" si="131">K73/M73</f>
        <v>0.7620091016349233</v>
      </c>
      <c r="P73" s="91">
        <f t="shared" ref="P73:P78" si="132">L73/M73</f>
        <v>0</v>
      </c>
    </row>
    <row r="74" spans="1:17" ht="13.5" x14ac:dyDescent="0.25">
      <c r="A74" s="390">
        <v>94276</v>
      </c>
      <c r="B74" s="390" t="s">
        <v>1125</v>
      </c>
      <c r="C74" s="391" t="s">
        <v>2</v>
      </c>
      <c r="D74" s="392">
        <f>57.84*N74</f>
        <v>15.873756432247003</v>
      </c>
      <c r="E74" s="392">
        <f>57.84*O74</f>
        <v>41.966243567753011</v>
      </c>
      <c r="F74" s="392">
        <f t="shared" si="128"/>
        <v>0</v>
      </c>
      <c r="H74" s="91" t="s">
        <v>100</v>
      </c>
      <c r="J74" s="95">
        <v>17.600000000000001</v>
      </c>
      <c r="K74" s="95">
        <v>46.53</v>
      </c>
      <c r="L74" s="95">
        <v>0</v>
      </c>
      <c r="M74" s="95">
        <f t="shared" si="129"/>
        <v>64.13</v>
      </c>
      <c r="N74" s="91">
        <f t="shared" si="130"/>
        <v>0.27444253859348205</v>
      </c>
      <c r="O74" s="91">
        <f t="shared" si="131"/>
        <v>0.72555746140651811</v>
      </c>
      <c r="P74" s="91">
        <f t="shared" si="132"/>
        <v>0</v>
      </c>
    </row>
    <row r="75" spans="1:17" ht="13.5" x14ac:dyDescent="0.25">
      <c r="A75" s="390">
        <v>94279</v>
      </c>
      <c r="B75" s="390" t="s">
        <v>1134</v>
      </c>
      <c r="C75" s="391" t="s">
        <v>2</v>
      </c>
      <c r="D75" s="392">
        <f>56.52*N75</f>
        <v>11.89529225908373</v>
      </c>
      <c r="E75" s="392">
        <f>56.52*O75</f>
        <v>44.624707740916271</v>
      </c>
      <c r="F75" s="392">
        <f t="shared" si="128"/>
        <v>0</v>
      </c>
      <c r="H75" s="91" t="s">
        <v>100</v>
      </c>
      <c r="J75" s="95">
        <v>11.99</v>
      </c>
      <c r="K75" s="95">
        <v>44.98</v>
      </c>
      <c r="L75" s="95">
        <v>0</v>
      </c>
      <c r="M75" s="95">
        <f t="shared" si="129"/>
        <v>56.97</v>
      </c>
      <c r="N75" s="91">
        <f t="shared" si="130"/>
        <v>0.21046164648060384</v>
      </c>
      <c r="O75" s="91">
        <f t="shared" si="131"/>
        <v>0.78953835351939616</v>
      </c>
      <c r="P75" s="91">
        <f t="shared" si="132"/>
        <v>0</v>
      </c>
    </row>
    <row r="76" spans="1:17" ht="13.5" x14ac:dyDescent="0.25">
      <c r="A76" s="390">
        <v>94281</v>
      </c>
      <c r="B76" s="390" t="s">
        <v>1126</v>
      </c>
      <c r="C76" s="391" t="s">
        <v>2</v>
      </c>
      <c r="D76" s="392">
        <f>51.73*N76</f>
        <v>19.524748636009353</v>
      </c>
      <c r="E76" s="392">
        <f>51.73*O76</f>
        <v>32.205251363990641</v>
      </c>
      <c r="F76" s="392">
        <f t="shared" si="128"/>
        <v>0</v>
      </c>
      <c r="H76" s="91" t="s">
        <v>100</v>
      </c>
      <c r="J76" s="95">
        <v>19.37</v>
      </c>
      <c r="K76" s="95">
        <v>31.95</v>
      </c>
      <c r="L76" s="95">
        <v>0</v>
      </c>
      <c r="M76" s="95">
        <f t="shared" si="129"/>
        <v>51.32</v>
      </c>
      <c r="N76" s="91">
        <f t="shared" si="130"/>
        <v>0.37743569758378803</v>
      </c>
      <c r="O76" s="91">
        <f t="shared" si="131"/>
        <v>0.62256430241621197</v>
      </c>
      <c r="P76" s="91">
        <f t="shared" si="132"/>
        <v>0</v>
      </c>
    </row>
    <row r="77" spans="1:17" ht="13.5" x14ac:dyDescent="0.25">
      <c r="A77" s="390">
        <v>94282</v>
      </c>
      <c r="B77" s="390" t="s">
        <v>1127</v>
      </c>
      <c r="C77" s="391" t="s">
        <v>2</v>
      </c>
      <c r="D77" s="392">
        <f>62.64*N77</f>
        <v>28.399332827899929</v>
      </c>
      <c r="E77" s="392">
        <f>62.64*O77</f>
        <v>34.240667172100082</v>
      </c>
      <c r="F77" s="392">
        <f t="shared" si="128"/>
        <v>0</v>
      </c>
      <c r="H77" s="91" t="s">
        <v>100</v>
      </c>
      <c r="J77" s="95">
        <v>29.9</v>
      </c>
      <c r="K77" s="95">
        <v>36.049999999999997</v>
      </c>
      <c r="L77" s="95">
        <v>0</v>
      </c>
      <c r="M77" s="95">
        <f t="shared" si="129"/>
        <v>65.949999999999989</v>
      </c>
      <c r="N77" s="91">
        <f t="shared" si="130"/>
        <v>0.45337376800606527</v>
      </c>
      <c r="O77" s="91">
        <f t="shared" si="131"/>
        <v>0.5466262319939349</v>
      </c>
      <c r="P77" s="91">
        <f t="shared" si="132"/>
        <v>0</v>
      </c>
    </row>
    <row r="78" spans="1:17" ht="13.5" x14ac:dyDescent="0.25">
      <c r="A78" s="390">
        <v>94295</v>
      </c>
      <c r="B78" s="390" t="s">
        <v>121</v>
      </c>
      <c r="C78" s="391" t="s">
        <v>24</v>
      </c>
      <c r="D78" s="392">
        <f>13368.87*N78</f>
        <v>12869.225926337956</v>
      </c>
      <c r="E78" s="392">
        <f>13368.87*O78</f>
        <v>499.6440736620446</v>
      </c>
      <c r="F78" s="392">
        <f t="shared" si="128"/>
        <v>0</v>
      </c>
      <c r="H78" s="91" t="s">
        <v>100</v>
      </c>
      <c r="J78" s="95">
        <v>9933.6200000000008</v>
      </c>
      <c r="K78" s="95">
        <v>385.67</v>
      </c>
      <c r="L78" s="95">
        <v>0</v>
      </c>
      <c r="M78" s="95">
        <f t="shared" si="129"/>
        <v>10319.290000000001</v>
      </c>
      <c r="N78" s="91">
        <f t="shared" si="130"/>
        <v>0.96262630471670052</v>
      </c>
      <c r="O78" s="91">
        <f t="shared" si="131"/>
        <v>3.7373695283299528E-2</v>
      </c>
      <c r="P78" s="91">
        <f t="shared" si="132"/>
        <v>0</v>
      </c>
    </row>
    <row r="79" spans="1:17" ht="13.5" x14ac:dyDescent="0.25">
      <c r="A79" s="390">
        <v>94498</v>
      </c>
      <c r="B79" s="390" t="s">
        <v>1908</v>
      </c>
      <c r="C79" s="391" t="s">
        <v>3</v>
      </c>
      <c r="D79" s="392">
        <f>127.17*N79</f>
        <v>18.057493646759848</v>
      </c>
      <c r="E79" s="392">
        <f>127.17*O79</f>
        <v>109.11250635324016</v>
      </c>
      <c r="F79" s="392">
        <f t="shared" ref="F79" si="133">L79*$J$2</f>
        <v>0</v>
      </c>
      <c r="H79" s="91" t="s">
        <v>100</v>
      </c>
      <c r="J79" s="95">
        <v>13.41</v>
      </c>
      <c r="K79" s="95">
        <v>81.03</v>
      </c>
      <c r="L79" s="95">
        <v>0</v>
      </c>
      <c r="M79" s="95">
        <f t="shared" ref="M79" si="134">SUM(J79:L79)</f>
        <v>94.44</v>
      </c>
      <c r="N79" s="91">
        <f t="shared" ref="N79" si="135">J79/M79</f>
        <v>0.14199491740787804</v>
      </c>
      <c r="O79" s="91">
        <f t="shared" ref="O79" si="136">K79/M79</f>
        <v>0.85800508259212205</v>
      </c>
      <c r="P79" s="91">
        <f t="shared" ref="P79" si="137">L79/M79</f>
        <v>0</v>
      </c>
    </row>
    <row r="80" spans="1:17" ht="13.5" x14ac:dyDescent="0.25">
      <c r="A80" s="390">
        <v>94792</v>
      </c>
      <c r="B80" s="390" t="s">
        <v>1907</v>
      </c>
      <c r="C80" s="391" t="s">
        <v>3</v>
      </c>
      <c r="D80" s="392">
        <f>99.66*N80</f>
        <v>13.78706295595785</v>
      </c>
      <c r="E80" s="392">
        <f>99.66*O80</f>
        <v>85.87293704404216</v>
      </c>
      <c r="F80" s="392">
        <f t="shared" ref="F80" si="138">L80*$J$2</f>
        <v>0</v>
      </c>
      <c r="H80" s="91" t="s">
        <v>100</v>
      </c>
      <c r="J80" s="95">
        <v>10.24</v>
      </c>
      <c r="K80" s="95">
        <v>63.78</v>
      </c>
      <c r="L80" s="95">
        <v>0</v>
      </c>
      <c r="M80" s="95">
        <f t="shared" ref="M80:M84" si="139">SUM(J80:L80)</f>
        <v>74.02</v>
      </c>
      <c r="N80" s="91">
        <f t="shared" ref="N80:N84" si="140">J80/M80</f>
        <v>0.13834098892191302</v>
      </c>
      <c r="O80" s="91">
        <f t="shared" ref="O80:O84" si="141">K80/M80</f>
        <v>0.86165901107808707</v>
      </c>
      <c r="P80" s="91">
        <f t="shared" ref="P80:P84" si="142">L80/M80</f>
        <v>0</v>
      </c>
    </row>
    <row r="81" spans="1:16" ht="13.5" x14ac:dyDescent="0.25">
      <c r="A81" s="390">
        <v>94797</v>
      </c>
      <c r="B81" s="390" t="s">
        <v>1905</v>
      </c>
      <c r="C81" s="391" t="s">
        <v>3</v>
      </c>
      <c r="D81" s="392">
        <f>123.21*N81</f>
        <v>7.3836987031444288</v>
      </c>
      <c r="E81" s="392">
        <f t="shared" ref="E81:F81" si="143">123.21*O81</f>
        <v>115.82630129685555</v>
      </c>
      <c r="F81" s="392">
        <f t="shared" si="143"/>
        <v>0</v>
      </c>
      <c r="H81" s="91" t="s">
        <v>100</v>
      </c>
      <c r="J81" s="95">
        <v>10.119999999999999</v>
      </c>
      <c r="K81" s="95">
        <v>158.75</v>
      </c>
      <c r="L81" s="95">
        <v>0</v>
      </c>
      <c r="M81" s="95">
        <f t="shared" si="139"/>
        <v>168.87</v>
      </c>
      <c r="N81" s="91">
        <f t="shared" si="140"/>
        <v>5.9927755077870543E-2</v>
      </c>
      <c r="O81" s="91">
        <f t="shared" si="141"/>
        <v>0.94007224492212937</v>
      </c>
      <c r="P81" s="91">
        <f t="shared" si="142"/>
        <v>0</v>
      </c>
    </row>
    <row r="82" spans="1:16" ht="13.5" x14ac:dyDescent="0.25">
      <c r="A82" s="390">
        <v>94963</v>
      </c>
      <c r="B82" s="390" t="s">
        <v>1147</v>
      </c>
      <c r="C82" s="391" t="s">
        <v>58</v>
      </c>
      <c r="D82" s="392">
        <f>467.74*N82</f>
        <v>85.553224879344938</v>
      </c>
      <c r="E82" s="392">
        <f t="shared" ref="E82:F82" si="144">467.74*O82</f>
        <v>380.20837264790418</v>
      </c>
      <c r="F82" s="392">
        <f t="shared" si="144"/>
        <v>1.9784024727509357</v>
      </c>
      <c r="H82" s="91" t="s">
        <v>100</v>
      </c>
      <c r="J82" s="95">
        <v>67.459999999999994</v>
      </c>
      <c r="K82" s="95">
        <v>299.8</v>
      </c>
      <c r="L82" s="95">
        <v>1.56</v>
      </c>
      <c r="M82" s="95">
        <f t="shared" si="139"/>
        <v>368.82</v>
      </c>
      <c r="N82" s="91">
        <f t="shared" si="140"/>
        <v>0.1829076514288813</v>
      </c>
      <c r="O82" s="91">
        <f t="shared" si="141"/>
        <v>0.81286264302369726</v>
      </c>
      <c r="P82" s="91">
        <f t="shared" si="142"/>
        <v>4.2297055474215068E-3</v>
      </c>
    </row>
    <row r="83" spans="1:16" ht="13.5" x14ac:dyDescent="0.25">
      <c r="A83" s="390">
        <v>94965</v>
      </c>
      <c r="B83" s="390" t="s">
        <v>1413</v>
      </c>
      <c r="C83" s="391" t="s">
        <v>58</v>
      </c>
      <c r="D83" s="392">
        <f>519.38*N83</f>
        <v>83.676018058257085</v>
      </c>
      <c r="E83" s="392">
        <f t="shared" ref="E83:F83" si="145">519.38*O83</f>
        <v>433.75831808467206</v>
      </c>
      <c r="F83" s="392">
        <f t="shared" si="145"/>
        <v>1.9456638570708162</v>
      </c>
      <c r="H83" s="91" t="s">
        <v>100</v>
      </c>
      <c r="J83" s="95">
        <v>67.09</v>
      </c>
      <c r="K83" s="95">
        <v>347.78</v>
      </c>
      <c r="L83" s="95">
        <v>1.56</v>
      </c>
      <c r="M83" s="95">
        <f t="shared" si="139"/>
        <v>416.43</v>
      </c>
      <c r="N83" s="91">
        <f t="shared" si="140"/>
        <v>0.16110750906514901</v>
      </c>
      <c r="O83" s="91">
        <f t="shared" si="141"/>
        <v>0.83514636313426016</v>
      </c>
      <c r="P83" s="91">
        <f t="shared" si="142"/>
        <v>3.7461278005907358E-3</v>
      </c>
    </row>
    <row r="84" spans="1:16" ht="13.5" x14ac:dyDescent="0.25">
      <c r="A84" s="390">
        <v>94995</v>
      </c>
      <c r="B84" s="390" t="s">
        <v>1120</v>
      </c>
      <c r="C84" s="391" t="s">
        <v>57</v>
      </c>
      <c r="D84" s="392">
        <f>94.75*N84</f>
        <v>11.929408169501883</v>
      </c>
      <c r="E84" s="392">
        <f t="shared" ref="E84:F84" si="146">94.75*O84</f>
        <v>82.820591830498117</v>
      </c>
      <c r="F84" s="392">
        <f t="shared" si="146"/>
        <v>0</v>
      </c>
      <c r="H84" s="91" t="s">
        <v>100</v>
      </c>
      <c r="J84" s="95">
        <v>12.36</v>
      </c>
      <c r="K84" s="95">
        <v>85.81</v>
      </c>
      <c r="L84" s="95">
        <v>0</v>
      </c>
      <c r="M84" s="95">
        <f t="shared" si="139"/>
        <v>98.17</v>
      </c>
      <c r="N84" s="91">
        <f t="shared" si="140"/>
        <v>0.12590404400529692</v>
      </c>
      <c r="O84" s="91">
        <f t="shared" si="141"/>
        <v>0.87409595599470302</v>
      </c>
      <c r="P84" s="91">
        <f t="shared" si="142"/>
        <v>0</v>
      </c>
    </row>
    <row r="85" spans="1:16" ht="13.5" x14ac:dyDescent="0.25">
      <c r="A85" s="390">
        <v>95471</v>
      </c>
      <c r="B85" s="390" t="s">
        <v>1786</v>
      </c>
      <c r="C85" s="391" t="s">
        <v>3</v>
      </c>
      <c r="D85" s="392">
        <f>898.34*N85</f>
        <v>39.23176625164237</v>
      </c>
      <c r="E85" s="392">
        <f>898.34*O85</f>
        <v>859.10823374835763</v>
      </c>
      <c r="F85" s="392">
        <f t="shared" ref="F85" si="147">L85*$J$2</f>
        <v>0</v>
      </c>
      <c r="H85" s="91" t="s">
        <v>100</v>
      </c>
      <c r="J85" s="95">
        <v>34.9</v>
      </c>
      <c r="K85" s="95">
        <v>764.25</v>
      </c>
      <c r="L85" s="95">
        <v>0</v>
      </c>
      <c r="M85" s="95">
        <f t="shared" ref="M85" si="148">SUM(J85:L85)</f>
        <v>799.15</v>
      </c>
      <c r="N85" s="91">
        <f t="shared" ref="N85" si="149">J85/M85</f>
        <v>4.3671400863417378E-2</v>
      </c>
      <c r="O85" s="91">
        <f t="shared" ref="O85" si="150">K85/M85</f>
        <v>0.95632859913658264</v>
      </c>
      <c r="P85" s="91">
        <f t="shared" ref="P85" si="151">L85/M85</f>
        <v>0</v>
      </c>
    </row>
    <row r="86" spans="1:16" ht="13.5" x14ac:dyDescent="0.25">
      <c r="A86" s="390">
        <v>95579</v>
      </c>
      <c r="B86" s="390" t="s">
        <v>1078</v>
      </c>
      <c r="C86" s="391" t="s">
        <v>1</v>
      </c>
      <c r="D86" s="392">
        <f>8.75*N86</f>
        <v>0.24179620034542312</v>
      </c>
      <c r="E86" s="392">
        <f>8.75*O86</f>
        <v>8.5082037996545772</v>
      </c>
      <c r="F86" s="392">
        <f t="shared" ref="F86:F87" si="152">L86*$J$2</f>
        <v>0</v>
      </c>
      <c r="H86" s="91" t="s">
        <v>100</v>
      </c>
      <c r="J86" s="95">
        <v>0.32</v>
      </c>
      <c r="K86" s="95">
        <v>11.26</v>
      </c>
      <c r="L86" s="95">
        <v>0</v>
      </c>
      <c r="M86" s="95">
        <f t="shared" ref="M86:M88" si="153">SUM(J86:L86)</f>
        <v>11.58</v>
      </c>
      <c r="N86" s="91">
        <f t="shared" ref="N86:N88" si="154">J86/M86</f>
        <v>2.7633851468048358E-2</v>
      </c>
      <c r="O86" s="91">
        <f t="shared" ref="O86:O88" si="155">K86/M86</f>
        <v>0.97236614853195158</v>
      </c>
      <c r="P86" s="91">
        <f t="shared" ref="P86:P88" si="156">L86/M86</f>
        <v>0</v>
      </c>
    </row>
    <row r="87" spans="1:16" ht="13.5" x14ac:dyDescent="0.25">
      <c r="A87" s="390">
        <v>95584</v>
      </c>
      <c r="B87" s="390" t="s">
        <v>1079</v>
      </c>
      <c r="C87" s="391" t="s">
        <v>1</v>
      </c>
      <c r="D87" s="392">
        <f>15.92*N87</f>
        <v>2.7113897102306326</v>
      </c>
      <c r="E87" s="392">
        <f>15.92*O87</f>
        <v>13.208610289769366</v>
      </c>
      <c r="F87" s="392">
        <f t="shared" si="152"/>
        <v>0</v>
      </c>
      <c r="H87" s="91" t="s">
        <v>100</v>
      </c>
      <c r="J87" s="95">
        <v>2.88</v>
      </c>
      <c r="K87" s="95">
        <v>14.03</v>
      </c>
      <c r="L87" s="95">
        <v>0</v>
      </c>
      <c r="M87" s="95">
        <f t="shared" si="153"/>
        <v>16.91</v>
      </c>
      <c r="N87" s="91">
        <f t="shared" si="154"/>
        <v>0.17031342400946184</v>
      </c>
      <c r="O87" s="91">
        <f t="shared" si="155"/>
        <v>0.82968657599053808</v>
      </c>
      <c r="P87" s="91">
        <f t="shared" si="156"/>
        <v>0</v>
      </c>
    </row>
    <row r="88" spans="1:16" ht="13.5" x14ac:dyDescent="0.25">
      <c r="A88" s="390">
        <v>95601</v>
      </c>
      <c r="B88" s="390" t="s">
        <v>1080</v>
      </c>
      <c r="C88" s="391" t="s">
        <v>3</v>
      </c>
      <c r="D88" s="392">
        <f>27.43*N88</f>
        <v>19.763563387175722</v>
      </c>
      <c r="E88" s="392">
        <f t="shared" ref="E88:F88" si="157">27.43*O88</f>
        <v>6.7802985805188447</v>
      </c>
      <c r="F88" s="392">
        <f t="shared" si="157"/>
        <v>0.88613803230543298</v>
      </c>
      <c r="H88" s="91" t="s">
        <v>100</v>
      </c>
      <c r="J88" s="95">
        <v>14.72</v>
      </c>
      <c r="K88" s="95">
        <v>5.05</v>
      </c>
      <c r="L88" s="95">
        <v>0.65999999999999992</v>
      </c>
      <c r="M88" s="95">
        <f t="shared" si="153"/>
        <v>20.43</v>
      </c>
      <c r="N88" s="91">
        <f t="shared" si="154"/>
        <v>0.72050905531081744</v>
      </c>
      <c r="O88" s="91">
        <f t="shared" si="155"/>
        <v>0.24718551150269211</v>
      </c>
      <c r="P88" s="91">
        <f t="shared" si="156"/>
        <v>3.230543318649045E-2</v>
      </c>
    </row>
    <row r="89" spans="1:16" ht="13.5" x14ac:dyDescent="0.25">
      <c r="A89" s="390">
        <v>95675</v>
      </c>
      <c r="B89" s="390" t="s">
        <v>1904</v>
      </c>
      <c r="C89" s="391" t="s">
        <v>3</v>
      </c>
      <c r="D89" s="392">
        <f>376*N89</f>
        <v>26.378831401439633</v>
      </c>
      <c r="E89" s="392">
        <f>376*O89</f>
        <v>349.62116859856036</v>
      </c>
      <c r="F89" s="392">
        <f t="shared" ref="F89" si="158">L89*$J$2</f>
        <v>0</v>
      </c>
      <c r="H89" s="91" t="s">
        <v>100</v>
      </c>
      <c r="J89" s="95">
        <v>20.76</v>
      </c>
      <c r="K89" s="95">
        <v>275.14999999999998</v>
      </c>
      <c r="L89" s="95">
        <v>0</v>
      </c>
      <c r="M89" s="95">
        <f t="shared" ref="M89" si="159">SUM(J89:L89)</f>
        <v>295.90999999999997</v>
      </c>
      <c r="N89" s="91">
        <f t="shared" ref="N89" si="160">J89/M89</f>
        <v>7.0156466493190517E-2</v>
      </c>
      <c r="O89" s="91">
        <f t="shared" ref="O89" si="161">K89/M89</f>
        <v>0.92984353350680948</v>
      </c>
      <c r="P89" s="91">
        <f t="shared" ref="P89" si="162">L89/M89</f>
        <v>0</v>
      </c>
    </row>
    <row r="90" spans="1:16" ht="13.5" x14ac:dyDescent="0.25">
      <c r="A90" s="390">
        <v>96114</v>
      </c>
      <c r="B90" s="390" t="s">
        <v>1113</v>
      </c>
      <c r="C90" s="391" t="s">
        <v>57</v>
      </c>
      <c r="D90" s="392">
        <f>84.94*N90</f>
        <v>16.538390743449927</v>
      </c>
      <c r="E90" s="392">
        <f>84.94*O90</f>
        <v>68.401609256550074</v>
      </c>
      <c r="F90" s="392">
        <f t="shared" ref="F90:F91" si="163">L90*$J$2</f>
        <v>0</v>
      </c>
      <c r="H90" s="91" t="s">
        <v>100</v>
      </c>
      <c r="J90" s="95">
        <v>14.64</v>
      </c>
      <c r="K90" s="95">
        <v>60.55</v>
      </c>
      <c r="L90" s="95">
        <v>0</v>
      </c>
      <c r="M90" s="95">
        <f t="shared" ref="M90:M91" si="164">SUM(J90:L90)</f>
        <v>75.19</v>
      </c>
      <c r="N90" s="91">
        <f t="shared" ref="N90:N91" si="165">J90/M90</f>
        <v>0.19470674291794124</v>
      </c>
      <c r="O90" s="91">
        <f t="shared" ref="O90:O91" si="166">K90/M90</f>
        <v>0.80529325708205879</v>
      </c>
      <c r="P90" s="91">
        <f t="shared" ref="P90:P91" si="167">L90/M90</f>
        <v>0</v>
      </c>
    </row>
    <row r="91" spans="1:16" ht="13.5" x14ac:dyDescent="0.25">
      <c r="A91" s="390">
        <v>96121</v>
      </c>
      <c r="B91" s="390" t="s">
        <v>1114</v>
      </c>
      <c r="C91" s="391" t="s">
        <v>2</v>
      </c>
      <c r="D91" s="392">
        <f>18*N91</f>
        <v>4.6921944035346099</v>
      </c>
      <c r="E91" s="392">
        <f>18*O91</f>
        <v>13.307805596465391</v>
      </c>
      <c r="F91" s="392">
        <f t="shared" si="163"/>
        <v>0</v>
      </c>
      <c r="H91" s="91" t="s">
        <v>100</v>
      </c>
      <c r="J91" s="95">
        <v>3.54</v>
      </c>
      <c r="K91" s="95">
        <v>10.039999999999999</v>
      </c>
      <c r="L91" s="95">
        <v>0</v>
      </c>
      <c r="M91" s="95">
        <f t="shared" si="164"/>
        <v>13.579999999999998</v>
      </c>
      <c r="N91" s="91">
        <f t="shared" si="165"/>
        <v>0.26067746686303389</v>
      </c>
      <c r="O91" s="91">
        <f t="shared" si="166"/>
        <v>0.73932253313696616</v>
      </c>
      <c r="P91" s="91">
        <f t="shared" si="167"/>
        <v>0</v>
      </c>
    </row>
    <row r="92" spans="1:16" ht="13.5" x14ac:dyDescent="0.25">
      <c r="A92" s="390">
        <v>96385</v>
      </c>
      <c r="B92" s="390" t="s">
        <v>1817</v>
      </c>
      <c r="C92" s="391" t="s">
        <v>58</v>
      </c>
      <c r="D92" s="392">
        <f>14.82*N92</f>
        <v>4.8368146214099221</v>
      </c>
      <c r="E92" s="392">
        <f t="shared" ref="E92:F92" si="168">14.82*O92</f>
        <v>3.3793211488250652</v>
      </c>
      <c r="F92" s="392">
        <f t="shared" si="168"/>
        <v>6.603864229765013</v>
      </c>
      <c r="H92" s="91" t="s">
        <v>100</v>
      </c>
      <c r="J92" s="95"/>
      <c r="K92" s="95"/>
      <c r="L92" s="95"/>
      <c r="M92" s="95"/>
      <c r="N92" s="91">
        <v>0.32637075718015668</v>
      </c>
      <c r="O92" s="91">
        <v>0.22802436901653611</v>
      </c>
      <c r="P92" s="91">
        <v>0.44560487380330721</v>
      </c>
    </row>
    <row r="93" spans="1:16" ht="13.5" x14ac:dyDescent="0.25">
      <c r="A93" s="390">
        <v>96396</v>
      </c>
      <c r="B93" s="390" t="s">
        <v>1069</v>
      </c>
      <c r="C93" s="391" t="s">
        <v>58</v>
      </c>
      <c r="D93" s="392">
        <f>221.06*N93</f>
        <v>8.7214623882167288</v>
      </c>
      <c r="E93" s="392">
        <f t="shared" ref="E93:F93" si="169">221.06*O93</f>
        <v>196.52361914781696</v>
      </c>
      <c r="F93" s="392">
        <f t="shared" si="169"/>
        <v>15.814918463966332</v>
      </c>
      <c r="H93" s="91" t="s">
        <v>100</v>
      </c>
      <c r="J93" s="95">
        <v>5.25</v>
      </c>
      <c r="K93" s="95">
        <v>118.3</v>
      </c>
      <c r="L93" s="95">
        <v>9.52</v>
      </c>
      <c r="M93" s="95">
        <f t="shared" ref="M93" si="170">SUM(J93:L93)</f>
        <v>133.07</v>
      </c>
      <c r="N93" s="91">
        <f t="shared" ref="N93:N94" si="171">J93/M93</f>
        <v>3.945291951604419E-2</v>
      </c>
      <c r="O93" s="91">
        <f t="shared" ref="O93:O94" si="172">K93/M93</f>
        <v>0.88900578642819572</v>
      </c>
      <c r="P93" s="91">
        <f t="shared" ref="P93:P94" si="173">L93/M93</f>
        <v>7.1541294055760124E-2</v>
      </c>
    </row>
    <row r="94" spans="1:16" ht="13.5" x14ac:dyDescent="0.25">
      <c r="A94" s="390">
        <v>96543</v>
      </c>
      <c r="B94" s="390" t="s">
        <v>182</v>
      </c>
      <c r="C94" s="391" t="s">
        <v>1</v>
      </c>
      <c r="D94" s="392">
        <f>24.8*N94</f>
        <v>7.9956284153005459</v>
      </c>
      <c r="E94" s="392">
        <f>24.8*O94</f>
        <v>16.804371584699453</v>
      </c>
      <c r="F94" s="392">
        <f t="shared" ref="F94:F102" si="174">L94*$J$2</f>
        <v>0</v>
      </c>
      <c r="H94" s="91" t="s">
        <v>100</v>
      </c>
      <c r="J94" s="95">
        <v>7.08</v>
      </c>
      <c r="K94" s="95">
        <v>14.88</v>
      </c>
      <c r="L94" s="95">
        <v>0</v>
      </c>
      <c r="M94" s="95">
        <f t="shared" ref="M94:M104" si="175">SUM(J94:L94)</f>
        <v>21.96</v>
      </c>
      <c r="N94" s="91">
        <f t="shared" si="171"/>
        <v>0.32240437158469942</v>
      </c>
      <c r="O94" s="91">
        <f t="shared" si="172"/>
        <v>0.67759562841530052</v>
      </c>
      <c r="P94" s="91">
        <f t="shared" si="173"/>
        <v>0</v>
      </c>
    </row>
    <row r="95" spans="1:16" ht="13.5" x14ac:dyDescent="0.25">
      <c r="A95" s="390">
        <v>96544</v>
      </c>
      <c r="B95" s="390" t="s">
        <v>1088</v>
      </c>
      <c r="C95" s="391" t="s">
        <v>1</v>
      </c>
      <c r="D95" s="392">
        <f>21.47*N95</f>
        <v>5.3622118226600985</v>
      </c>
      <c r="E95" s="392">
        <f t="shared" ref="E95:F95" si="176">21.47*O95</f>
        <v>16.107788177339899</v>
      </c>
      <c r="F95" s="392">
        <f t="shared" si="176"/>
        <v>0</v>
      </c>
      <c r="H95" s="91" t="s">
        <v>100</v>
      </c>
      <c r="J95" s="95">
        <v>5.07</v>
      </c>
      <c r="K95" s="95">
        <v>15.23</v>
      </c>
      <c r="L95" s="95">
        <v>0</v>
      </c>
      <c r="M95" s="95">
        <f t="shared" si="175"/>
        <v>20.3</v>
      </c>
      <c r="N95" s="91">
        <f t="shared" ref="N95:N104" si="177">J95/M95</f>
        <v>0.2497536945812808</v>
      </c>
      <c r="O95" s="91">
        <f t="shared" ref="O95:O104" si="178">K95/M95</f>
        <v>0.75024630541871917</v>
      </c>
      <c r="P95" s="91">
        <f t="shared" ref="P95:P104" si="179">L95/M95</f>
        <v>0</v>
      </c>
    </row>
    <row r="96" spans="1:16" ht="13.5" x14ac:dyDescent="0.25">
      <c r="A96" s="390">
        <v>96545</v>
      </c>
      <c r="B96" s="390" t="s">
        <v>1089</v>
      </c>
      <c r="C96" s="391" t="s">
        <v>1</v>
      </c>
      <c r="D96" s="392">
        <f>18.7*N96</f>
        <v>3.6225651942522621</v>
      </c>
      <c r="E96" s="392">
        <f>18.7*O96</f>
        <v>15.077434805747739</v>
      </c>
      <c r="F96" s="392">
        <f t="shared" si="174"/>
        <v>0</v>
      </c>
      <c r="H96" s="91" t="s">
        <v>100</v>
      </c>
      <c r="J96" s="95">
        <v>3.64</v>
      </c>
      <c r="K96" s="95">
        <v>15.15</v>
      </c>
      <c r="L96" s="95">
        <v>0</v>
      </c>
      <c r="M96" s="95">
        <f t="shared" si="175"/>
        <v>18.79</v>
      </c>
      <c r="N96" s="91">
        <f t="shared" si="177"/>
        <v>0.19372006386375734</v>
      </c>
      <c r="O96" s="91">
        <f t="shared" si="178"/>
        <v>0.80627993613624271</v>
      </c>
      <c r="P96" s="91">
        <f t="shared" si="179"/>
        <v>0</v>
      </c>
    </row>
    <row r="97" spans="1:16" ht="13.5" x14ac:dyDescent="0.25">
      <c r="A97" s="390">
        <v>96546</v>
      </c>
      <c r="B97" s="390" t="s">
        <v>1090</v>
      </c>
      <c r="C97" s="391" t="s">
        <v>1</v>
      </c>
      <c r="D97" s="392">
        <f>16.01*N97</f>
        <v>2.5627517985611514</v>
      </c>
      <c r="E97" s="392">
        <f>16.01*O97</f>
        <v>13.44724820143885</v>
      </c>
      <c r="F97" s="392">
        <f t="shared" si="174"/>
        <v>0</v>
      </c>
      <c r="H97" s="91" t="s">
        <v>100</v>
      </c>
      <c r="J97" s="95">
        <v>2.67</v>
      </c>
      <c r="K97" s="95">
        <v>14.01</v>
      </c>
      <c r="L97" s="95">
        <v>0</v>
      </c>
      <c r="M97" s="95">
        <f t="shared" si="175"/>
        <v>16.68</v>
      </c>
      <c r="N97" s="91">
        <f t="shared" si="177"/>
        <v>0.16007194244604317</v>
      </c>
      <c r="O97" s="91">
        <f t="shared" si="178"/>
        <v>0.83992805755395683</v>
      </c>
      <c r="P97" s="91">
        <f t="shared" si="179"/>
        <v>0</v>
      </c>
    </row>
    <row r="98" spans="1:16" ht="13.5" x14ac:dyDescent="0.25">
      <c r="A98" s="390">
        <v>98679</v>
      </c>
      <c r="B98" s="90" t="s">
        <v>1137</v>
      </c>
      <c r="C98" s="391" t="s">
        <v>57</v>
      </c>
      <c r="D98" s="392">
        <f>40.98*N98</f>
        <v>16.155463203463199</v>
      </c>
      <c r="E98" s="392">
        <f t="shared" ref="E98:F98" si="180">40.98*O98</f>
        <v>24.753575757575753</v>
      </c>
      <c r="F98" s="392">
        <f t="shared" si="180"/>
        <v>7.0961038961038933E-2</v>
      </c>
      <c r="H98" s="91" t="s">
        <v>100</v>
      </c>
      <c r="J98" s="95"/>
      <c r="K98" s="95"/>
      <c r="L98" s="95"/>
      <c r="M98" s="95"/>
      <c r="N98" s="91">
        <v>0.39422799422799415</v>
      </c>
      <c r="O98" s="91">
        <v>0.60404040404040393</v>
      </c>
      <c r="P98" s="91">
        <v>1.7316017316017312E-3</v>
      </c>
    </row>
    <row r="99" spans="1:16" ht="13.5" x14ac:dyDescent="0.25">
      <c r="A99" s="390">
        <v>104920</v>
      </c>
      <c r="B99" s="390" t="s">
        <v>1091</v>
      </c>
      <c r="C99" s="391" t="s">
        <v>1</v>
      </c>
      <c r="D99" s="392">
        <f>11.89*N99</f>
        <v>1.6779900213827512</v>
      </c>
      <c r="E99" s="392">
        <f t="shared" ref="E99:F99" si="181">11.89*O99</f>
        <v>10.212009978617248</v>
      </c>
      <c r="F99" s="392">
        <f t="shared" si="181"/>
        <v>0</v>
      </c>
      <c r="H99" s="91" t="s">
        <v>100</v>
      </c>
      <c r="J99" s="95">
        <v>1.98</v>
      </c>
      <c r="K99" s="95">
        <v>12.05</v>
      </c>
      <c r="L99" s="95">
        <v>0</v>
      </c>
      <c r="M99" s="95">
        <f t="shared" si="175"/>
        <v>14.030000000000001</v>
      </c>
      <c r="N99" s="91">
        <f t="shared" si="177"/>
        <v>0.14112615823235922</v>
      </c>
      <c r="O99" s="91">
        <f t="shared" si="178"/>
        <v>0.8588738417676407</v>
      </c>
      <c r="P99" s="91">
        <f t="shared" si="179"/>
        <v>0</v>
      </c>
    </row>
    <row r="100" spans="1:16" ht="13.5" x14ac:dyDescent="0.25">
      <c r="A100" s="390">
        <v>104921</v>
      </c>
      <c r="B100" s="390" t="s">
        <v>1092</v>
      </c>
      <c r="C100" s="391" t="s">
        <v>1</v>
      </c>
      <c r="D100" s="392">
        <f>10.97*N100</f>
        <v>1.1459954579863738</v>
      </c>
      <c r="E100" s="392">
        <f>10.97*O100</f>
        <v>9.8240045420136255</v>
      </c>
      <c r="F100" s="392">
        <f t="shared" si="174"/>
        <v>0</v>
      </c>
      <c r="H100" s="91" t="s">
        <v>100</v>
      </c>
      <c r="J100" s="95">
        <v>1.38</v>
      </c>
      <c r="K100" s="95">
        <v>11.83</v>
      </c>
      <c r="L100" s="95">
        <v>0</v>
      </c>
      <c r="M100" s="95">
        <f t="shared" si="175"/>
        <v>13.21</v>
      </c>
      <c r="N100" s="91">
        <f t="shared" si="177"/>
        <v>0.10446631339894018</v>
      </c>
      <c r="O100" s="91">
        <f t="shared" si="178"/>
        <v>0.8955336866010597</v>
      </c>
      <c r="P100" s="91">
        <f t="shared" si="179"/>
        <v>0</v>
      </c>
    </row>
    <row r="101" spans="1:16" ht="13.5" x14ac:dyDescent="0.25">
      <c r="A101" s="390">
        <v>104922</v>
      </c>
      <c r="B101" s="390" t="s">
        <v>1093</v>
      </c>
      <c r="C101" s="391" t="s">
        <v>1</v>
      </c>
      <c r="D101" s="392">
        <f>11.79*N101</f>
        <v>0.80587833219412153</v>
      </c>
      <c r="E101" s="392">
        <f t="shared" ref="E101:F101" si="182">11.79*O101</f>
        <v>10.984121667805878</v>
      </c>
      <c r="F101" s="392">
        <f t="shared" si="182"/>
        <v>0</v>
      </c>
      <c r="H101" s="91" t="s">
        <v>100</v>
      </c>
      <c r="J101" s="95">
        <v>1</v>
      </c>
      <c r="K101" s="95">
        <v>13.63</v>
      </c>
      <c r="L101" s="95">
        <v>0</v>
      </c>
      <c r="M101" s="95">
        <f t="shared" si="175"/>
        <v>14.63</v>
      </c>
      <c r="N101" s="91">
        <f t="shared" si="177"/>
        <v>6.835269993164729E-2</v>
      </c>
      <c r="O101" s="91">
        <f t="shared" si="178"/>
        <v>0.93164730006835272</v>
      </c>
      <c r="P101" s="91">
        <f t="shared" si="179"/>
        <v>0</v>
      </c>
    </row>
    <row r="102" spans="1:16" ht="13.5" x14ac:dyDescent="0.25">
      <c r="A102" s="390">
        <v>104915</v>
      </c>
      <c r="B102" s="390" t="s">
        <v>1094</v>
      </c>
      <c r="C102" s="391" t="s">
        <v>1</v>
      </c>
      <c r="D102" s="392">
        <f>10.34*N102</f>
        <v>0.51663617171006326</v>
      </c>
      <c r="E102" s="392">
        <f>10.34*O102</f>
        <v>9.8233638282899349</v>
      </c>
      <c r="F102" s="392">
        <f t="shared" si="174"/>
        <v>0</v>
      </c>
      <c r="H102" s="91" t="s">
        <v>100</v>
      </c>
      <c r="J102" s="95">
        <v>0.71</v>
      </c>
      <c r="K102" s="95">
        <v>13.5</v>
      </c>
      <c r="L102" s="95">
        <v>0</v>
      </c>
      <c r="M102" s="95">
        <f t="shared" si="175"/>
        <v>14.21</v>
      </c>
      <c r="N102" s="91">
        <f t="shared" si="177"/>
        <v>4.9964813511611535E-2</v>
      </c>
      <c r="O102" s="91">
        <f t="shared" si="178"/>
        <v>0.95003518648838836</v>
      </c>
      <c r="P102" s="91">
        <f t="shared" si="179"/>
        <v>0</v>
      </c>
    </row>
    <row r="103" spans="1:16" ht="13.5" x14ac:dyDescent="0.25">
      <c r="A103" s="390">
        <v>96619</v>
      </c>
      <c r="B103" s="390" t="s">
        <v>1087</v>
      </c>
      <c r="C103" s="391" t="s">
        <v>57</v>
      </c>
      <c r="D103" s="392">
        <f>47.05*N103</f>
        <v>18.638012670890294</v>
      </c>
      <c r="E103" s="392">
        <f t="shared" ref="E103:F103" si="183">47.05*O103</f>
        <v>28.082527509169715</v>
      </c>
      <c r="F103" s="392">
        <f t="shared" si="183"/>
        <v>0.32945981993997997</v>
      </c>
      <c r="H103" s="91" t="s">
        <v>100</v>
      </c>
      <c r="J103" s="95">
        <v>11.88</v>
      </c>
      <c r="K103" s="95">
        <v>17.899999999999999</v>
      </c>
      <c r="L103" s="95">
        <v>0.21000000000000002</v>
      </c>
      <c r="M103" s="95">
        <f t="shared" si="175"/>
        <v>29.990000000000002</v>
      </c>
      <c r="N103" s="91">
        <f t="shared" si="177"/>
        <v>0.39613204401467156</v>
      </c>
      <c r="O103" s="91">
        <f t="shared" si="178"/>
        <v>0.59686562187395786</v>
      </c>
      <c r="P103" s="91">
        <f t="shared" si="179"/>
        <v>7.0023341113704569E-3</v>
      </c>
    </row>
    <row r="104" spans="1:16" ht="13.5" x14ac:dyDescent="0.25">
      <c r="A104" s="390">
        <v>96622</v>
      </c>
      <c r="B104" s="390" t="s">
        <v>1121</v>
      </c>
      <c r="C104" s="391" t="s">
        <v>58</v>
      </c>
      <c r="D104" s="392">
        <f>281.52*N104</f>
        <v>72.761036269430036</v>
      </c>
      <c r="E104" s="392">
        <f t="shared" ref="E104:F104" si="184">281.52*O104</f>
        <v>208.6946113989637</v>
      </c>
      <c r="F104" s="392">
        <f t="shared" si="184"/>
        <v>6.4352331606217603E-2</v>
      </c>
      <c r="H104" s="91" t="s">
        <v>100</v>
      </c>
      <c r="J104" s="95">
        <v>33.92</v>
      </c>
      <c r="K104" s="95">
        <v>97.29</v>
      </c>
      <c r="L104" s="95">
        <v>0.03</v>
      </c>
      <c r="M104" s="95">
        <f t="shared" si="175"/>
        <v>131.24</v>
      </c>
      <c r="N104" s="91">
        <f t="shared" si="177"/>
        <v>0.2584577872599817</v>
      </c>
      <c r="O104" s="91">
        <f t="shared" si="178"/>
        <v>0.74131362389515387</v>
      </c>
      <c r="P104" s="91">
        <f t="shared" si="179"/>
        <v>2.285888448643706E-4</v>
      </c>
    </row>
    <row r="105" spans="1:16" ht="13.5" x14ac:dyDescent="0.25">
      <c r="A105" s="390">
        <v>97084</v>
      </c>
      <c r="B105" s="390" t="s">
        <v>1083</v>
      </c>
      <c r="C105" s="391" t="s">
        <v>57</v>
      </c>
      <c r="D105" s="392">
        <f>1.03*N105</f>
        <v>0.74909090909090914</v>
      </c>
      <c r="E105" s="392">
        <f>1.03*O105</f>
        <v>0.28090909090909089</v>
      </c>
      <c r="F105" s="392">
        <f t="shared" ref="F105:F108" si="185">L105*$J$2</f>
        <v>0</v>
      </c>
      <c r="H105" s="91" t="s">
        <v>100</v>
      </c>
      <c r="J105" s="95">
        <v>0.56000000000000005</v>
      </c>
      <c r="K105" s="95">
        <v>0.21</v>
      </c>
      <c r="L105" s="95">
        <v>0</v>
      </c>
      <c r="M105" s="95">
        <f t="shared" ref="M105:M108" si="186">SUM(J105:L105)</f>
        <v>0.77</v>
      </c>
      <c r="N105" s="91">
        <f t="shared" ref="N105:N110" si="187">J105/M105</f>
        <v>0.72727272727272729</v>
      </c>
      <c r="O105" s="91">
        <f t="shared" ref="O105:O110" si="188">K105/M105</f>
        <v>0.27272727272727271</v>
      </c>
      <c r="P105" s="91">
        <f t="shared" ref="P105:P110" si="189">L105/M105</f>
        <v>0</v>
      </c>
    </row>
    <row r="106" spans="1:16" ht="13.5" x14ac:dyDescent="0.25">
      <c r="A106" s="390">
        <v>97087</v>
      </c>
      <c r="B106" s="390" t="s">
        <v>1096</v>
      </c>
      <c r="C106" s="391" t="s">
        <v>57</v>
      </c>
      <c r="D106" s="392">
        <f>2.69*N106</f>
        <v>0.41552845528455284</v>
      </c>
      <c r="E106" s="392">
        <f>2.69*O106</f>
        <v>2.2744715447154471</v>
      </c>
      <c r="F106" s="392">
        <f t="shared" si="185"/>
        <v>0</v>
      </c>
      <c r="H106" s="91" t="s">
        <v>100</v>
      </c>
      <c r="J106" s="95">
        <v>0.38</v>
      </c>
      <c r="K106" s="95">
        <v>2.08</v>
      </c>
      <c r="L106" s="95">
        <v>0</v>
      </c>
      <c r="M106" s="95">
        <f t="shared" si="186"/>
        <v>2.46</v>
      </c>
      <c r="N106" s="91">
        <f t="shared" si="187"/>
        <v>0.15447154471544716</v>
      </c>
      <c r="O106" s="91">
        <f t="shared" si="188"/>
        <v>0.84552845528455289</v>
      </c>
      <c r="P106" s="91">
        <f t="shared" si="189"/>
        <v>0</v>
      </c>
    </row>
    <row r="107" spans="1:16" ht="13.5" x14ac:dyDescent="0.25">
      <c r="A107" s="390">
        <v>97092</v>
      </c>
      <c r="B107" s="390" t="s">
        <v>1098</v>
      </c>
      <c r="C107" s="391" t="s">
        <v>1</v>
      </c>
      <c r="D107" s="392">
        <f>11.85*N107</f>
        <v>0.39127358490566044</v>
      </c>
      <c r="E107" s="392">
        <f>11.85*O107</f>
        <v>11.45872641509434</v>
      </c>
      <c r="F107" s="392">
        <f t="shared" si="185"/>
        <v>0</v>
      </c>
      <c r="H107" s="91" t="s">
        <v>100</v>
      </c>
      <c r="J107" s="95">
        <v>0.63</v>
      </c>
      <c r="K107" s="95">
        <v>18.45</v>
      </c>
      <c r="L107" s="95">
        <v>0</v>
      </c>
      <c r="M107" s="95">
        <f t="shared" si="186"/>
        <v>19.079999999999998</v>
      </c>
      <c r="N107" s="91">
        <f t="shared" si="187"/>
        <v>3.3018867924528308E-2</v>
      </c>
      <c r="O107" s="91">
        <f t="shared" si="188"/>
        <v>0.96698113207547176</v>
      </c>
      <c r="P107" s="91">
        <f t="shared" si="189"/>
        <v>0</v>
      </c>
    </row>
    <row r="108" spans="1:16" ht="13.5" x14ac:dyDescent="0.25">
      <c r="A108" s="390">
        <v>97093</v>
      </c>
      <c r="B108" s="390" t="s">
        <v>1099</v>
      </c>
      <c r="C108" s="391" t="s">
        <v>1</v>
      </c>
      <c r="D108" s="392">
        <f>11.01*N108</f>
        <v>0.30122278056951418</v>
      </c>
      <c r="E108" s="392">
        <f>11.01*O108</f>
        <v>10.708777219430486</v>
      </c>
      <c r="F108" s="392">
        <f t="shared" si="185"/>
        <v>0</v>
      </c>
      <c r="H108" s="91" t="s">
        <v>100</v>
      </c>
      <c r="J108" s="95">
        <v>0.49</v>
      </c>
      <c r="K108" s="95">
        <v>17.420000000000002</v>
      </c>
      <c r="L108" s="95">
        <v>0</v>
      </c>
      <c r="M108" s="95">
        <f t="shared" si="186"/>
        <v>17.91</v>
      </c>
      <c r="N108" s="91">
        <f t="shared" si="187"/>
        <v>2.735901730876605E-2</v>
      </c>
      <c r="O108" s="91">
        <f t="shared" si="188"/>
        <v>0.972640982691234</v>
      </c>
      <c r="P108" s="91">
        <f t="shared" si="189"/>
        <v>0</v>
      </c>
    </row>
    <row r="109" spans="1:16" ht="13.5" x14ac:dyDescent="0.25">
      <c r="A109" s="390">
        <v>97114</v>
      </c>
      <c r="B109" s="390" t="s">
        <v>1102</v>
      </c>
      <c r="C109" s="391" t="s">
        <v>2</v>
      </c>
      <c r="D109" s="392">
        <f>0.56*N109</f>
        <v>0.39666666666666672</v>
      </c>
      <c r="E109" s="392">
        <f>0.56*O109</f>
        <v>0.16333333333333336</v>
      </c>
      <c r="F109" s="392">
        <f t="shared" ref="F109:F110" si="190">L109*$J$2</f>
        <v>0</v>
      </c>
      <c r="H109" s="91" t="s">
        <v>100</v>
      </c>
      <c r="J109" s="95">
        <v>0.34</v>
      </c>
      <c r="K109" s="95">
        <v>0.14000000000000001</v>
      </c>
      <c r="L109" s="95">
        <v>0</v>
      </c>
      <c r="M109" s="95">
        <f t="shared" ref="M109:M110" si="191">SUM(J109:L109)</f>
        <v>0.48000000000000004</v>
      </c>
      <c r="N109" s="91">
        <f t="shared" si="187"/>
        <v>0.70833333333333337</v>
      </c>
      <c r="O109" s="91">
        <f t="shared" si="188"/>
        <v>0.29166666666666669</v>
      </c>
      <c r="P109" s="91">
        <f t="shared" si="189"/>
        <v>0</v>
      </c>
    </row>
    <row r="110" spans="1:16" ht="13.5" x14ac:dyDescent="0.25">
      <c r="A110" s="390">
        <v>97117</v>
      </c>
      <c r="B110" s="390" t="s">
        <v>1097</v>
      </c>
      <c r="C110" s="391" t="s">
        <v>1</v>
      </c>
      <c r="D110" s="392">
        <f>22*N110</f>
        <v>3.8256503879507076</v>
      </c>
      <c r="E110" s="392">
        <f>22*O110</f>
        <v>18.174349612049294</v>
      </c>
      <c r="F110" s="392">
        <f t="shared" si="190"/>
        <v>0</v>
      </c>
      <c r="H110" s="91" t="s">
        <v>100</v>
      </c>
      <c r="J110" s="95">
        <v>3.81</v>
      </c>
      <c r="K110" s="95">
        <v>18.100000000000001</v>
      </c>
      <c r="L110" s="95">
        <v>0</v>
      </c>
      <c r="M110" s="95">
        <f t="shared" si="191"/>
        <v>21.91</v>
      </c>
      <c r="N110" s="91">
        <f t="shared" si="187"/>
        <v>0.17389319945230489</v>
      </c>
      <c r="O110" s="91">
        <f t="shared" si="188"/>
        <v>0.82610680054769514</v>
      </c>
      <c r="P110" s="91">
        <f t="shared" si="189"/>
        <v>0</v>
      </c>
    </row>
    <row r="111" spans="1:16" ht="13.5" x14ac:dyDescent="0.25">
      <c r="A111" s="390">
        <v>97887</v>
      </c>
      <c r="B111" s="390" t="s">
        <v>2232</v>
      </c>
      <c r="C111" s="391" t="s">
        <v>3</v>
      </c>
      <c r="D111" s="392">
        <f>331.49*N111</f>
        <v>155.56812721397054</v>
      </c>
      <c r="E111" s="392">
        <f t="shared" ref="E111:F111" si="192">331.49*O111</f>
        <v>175.32444503138404</v>
      </c>
      <c r="F111" s="392">
        <f t="shared" si="192"/>
        <v>0.59742775464545395</v>
      </c>
      <c r="H111" s="91" t="s">
        <v>100</v>
      </c>
      <c r="J111" s="95">
        <v>151.03</v>
      </c>
      <c r="K111" s="95">
        <v>170.21</v>
      </c>
      <c r="L111" s="95">
        <v>0.57999999999999996</v>
      </c>
      <c r="M111" s="95">
        <f t="shared" ref="M111:M114" si="193">SUM(J111:L111)</f>
        <v>321.82</v>
      </c>
      <c r="N111" s="91">
        <f t="shared" ref="N111:N114" si="194">J111/M111</f>
        <v>0.46929960847678825</v>
      </c>
      <c r="O111" s="91">
        <f t="shared" ref="O111:O114" si="195">K111/M111</f>
        <v>0.52889814181840789</v>
      </c>
      <c r="P111" s="91">
        <f t="shared" ref="P111:P114" si="196">L111/M111</f>
        <v>1.8022497048039276E-3</v>
      </c>
    </row>
    <row r="112" spans="1:16" ht="13.5" x14ac:dyDescent="0.25">
      <c r="A112" s="390">
        <v>97889</v>
      </c>
      <c r="B112" s="390" t="s">
        <v>2233</v>
      </c>
      <c r="C112" s="391" t="s">
        <v>3</v>
      </c>
      <c r="D112" s="392">
        <f>859.87*N112</f>
        <v>389.87157340181687</v>
      </c>
      <c r="E112" s="392">
        <f t="shared" ref="E112:F112" si="197">859.87*O112</f>
        <v>465.36520611071779</v>
      </c>
      <c r="F112" s="392">
        <f t="shared" si="197"/>
        <v>4.6332204874653486</v>
      </c>
      <c r="H112" s="91" t="s">
        <v>100</v>
      </c>
      <c r="J112" s="95">
        <v>377.82</v>
      </c>
      <c r="K112" s="95">
        <v>450.98</v>
      </c>
      <c r="L112" s="95">
        <v>4.49</v>
      </c>
      <c r="M112" s="95">
        <f t="shared" si="193"/>
        <v>833.29</v>
      </c>
      <c r="N112" s="91">
        <f t="shared" si="194"/>
        <v>0.45340757719401409</v>
      </c>
      <c r="O112" s="91">
        <f t="shared" si="195"/>
        <v>0.54120414261541605</v>
      </c>
      <c r="P112" s="91">
        <f t="shared" si="196"/>
        <v>5.3882801905699102E-3</v>
      </c>
    </row>
    <row r="113" spans="1:17" ht="13.5" x14ac:dyDescent="0.25">
      <c r="A113" s="390">
        <v>97902</v>
      </c>
      <c r="B113" s="390" t="s">
        <v>1909</v>
      </c>
      <c r="C113" s="391" t="s">
        <v>3</v>
      </c>
      <c r="D113" s="392">
        <f>706.22*N113</f>
        <v>317.77308049914365</v>
      </c>
      <c r="E113" s="392">
        <f t="shared" ref="E113:F113" si="198">706.22*O113</f>
        <v>386.15990471941171</v>
      </c>
      <c r="F113" s="392">
        <f t="shared" si="198"/>
        <v>2.2870147814447535</v>
      </c>
      <c r="H113" s="91" t="s">
        <v>100</v>
      </c>
      <c r="J113" s="95">
        <v>312.63</v>
      </c>
      <c r="K113" s="95">
        <v>379.91</v>
      </c>
      <c r="L113" s="95">
        <v>2.25</v>
      </c>
      <c r="M113" s="95">
        <f t="shared" si="193"/>
        <v>694.79</v>
      </c>
      <c r="N113" s="91">
        <f t="shared" si="194"/>
        <v>0.44996329826278447</v>
      </c>
      <c r="O113" s="91">
        <f t="shared" si="195"/>
        <v>0.546798313159372</v>
      </c>
      <c r="P113" s="91">
        <f t="shared" si="196"/>
        <v>3.2383885778436653E-3</v>
      </c>
    </row>
    <row r="114" spans="1:17" ht="13.5" x14ac:dyDescent="0.25">
      <c r="A114" s="390">
        <v>97918</v>
      </c>
      <c r="B114" s="390" t="s">
        <v>1086</v>
      </c>
      <c r="C114" s="391" t="s">
        <v>95</v>
      </c>
      <c r="D114" s="392">
        <f>2.59*N114</f>
        <v>0.44182352941176462</v>
      </c>
      <c r="E114" s="392">
        <f t="shared" ref="E114:F114" si="199">2.59*O114</f>
        <v>1.2035882352941174</v>
      </c>
      <c r="F114" s="392">
        <f t="shared" si="199"/>
        <v>0.94458823529411751</v>
      </c>
      <c r="H114" s="91" t="s">
        <v>100</v>
      </c>
      <c r="J114" s="95">
        <v>0.28999999999999998</v>
      </c>
      <c r="K114" s="95">
        <v>0.79</v>
      </c>
      <c r="L114" s="95">
        <v>0.62</v>
      </c>
      <c r="M114" s="95">
        <f t="shared" si="193"/>
        <v>1.7000000000000002</v>
      </c>
      <c r="N114" s="91">
        <f t="shared" si="194"/>
        <v>0.17058823529411762</v>
      </c>
      <c r="O114" s="91">
        <f t="shared" si="195"/>
        <v>0.46470588235294114</v>
      </c>
      <c r="P114" s="91">
        <f t="shared" si="196"/>
        <v>0.36470588235294116</v>
      </c>
    </row>
    <row r="115" spans="1:17" ht="13.5" x14ac:dyDescent="0.25">
      <c r="A115" s="390">
        <v>98107</v>
      </c>
      <c r="B115" s="390" t="s">
        <v>1910</v>
      </c>
      <c r="C115" s="391" t="s">
        <v>3</v>
      </c>
      <c r="D115" s="392">
        <f>339.45*N115</f>
        <v>172.68512639623748</v>
      </c>
      <c r="E115" s="392">
        <f t="shared" ref="E115:F115" si="200">339.45*O115</f>
        <v>166.28814912796395</v>
      </c>
      <c r="F115" s="392">
        <f t="shared" si="200"/>
        <v>0.47672447579854987</v>
      </c>
      <c r="H115" s="91" t="s">
        <v>100</v>
      </c>
      <c r="J115" s="95">
        <v>155.76</v>
      </c>
      <c r="K115" s="95">
        <v>149.99</v>
      </c>
      <c r="L115" s="95">
        <v>0.43000000000000005</v>
      </c>
      <c r="M115" s="95">
        <f t="shared" ref="M115" si="201">SUM(J115:L115)</f>
        <v>306.18</v>
      </c>
      <c r="N115" s="91">
        <f t="shared" ref="N115" si="202">J115/M115</f>
        <v>0.50872036057221237</v>
      </c>
      <c r="O115" s="91">
        <f t="shared" ref="O115" si="203">K115/M115</f>
        <v>0.48987523678881706</v>
      </c>
      <c r="P115" s="91">
        <f t="shared" ref="P115" si="204">L115/M115</f>
        <v>1.4044026389705402E-3</v>
      </c>
    </row>
    <row r="116" spans="1:17" ht="13.5" x14ac:dyDescent="0.25">
      <c r="A116" s="390">
        <v>98307</v>
      </c>
      <c r="B116" s="390" t="s">
        <v>2300</v>
      </c>
      <c r="C116" s="391" t="s">
        <v>3</v>
      </c>
      <c r="D116" s="392">
        <f>59.04*N116</f>
        <v>11.161791044776121</v>
      </c>
      <c r="E116" s="392">
        <f>59.04*O116</f>
        <v>47.878208955223883</v>
      </c>
      <c r="F116" s="392">
        <f t="shared" ref="F116" si="205">L116*$J$2</f>
        <v>0</v>
      </c>
      <c r="H116" s="91" t="s">
        <v>100</v>
      </c>
      <c r="J116" s="95">
        <v>7.98</v>
      </c>
      <c r="K116" s="95">
        <v>34.229999999999997</v>
      </c>
      <c r="L116" s="95">
        <v>0</v>
      </c>
      <c r="M116" s="95">
        <f t="shared" ref="M116" si="206">SUM(J116:L116)</f>
        <v>42.209999999999994</v>
      </c>
      <c r="N116" s="91">
        <f t="shared" ref="N116" si="207">J116/M116</f>
        <v>0.18905472636815923</v>
      </c>
      <c r="O116" s="91">
        <f t="shared" ref="O116" si="208">K116/M116</f>
        <v>0.81094527363184088</v>
      </c>
      <c r="P116" s="91">
        <f t="shared" ref="P116" si="209">L116/M116</f>
        <v>0</v>
      </c>
    </row>
    <row r="117" spans="1:17" ht="13.5" x14ac:dyDescent="0.25">
      <c r="A117" s="390">
        <v>98459</v>
      </c>
      <c r="B117" s="390" t="s">
        <v>1077</v>
      </c>
      <c r="C117" s="391" t="s">
        <v>57</v>
      </c>
      <c r="D117" s="392">
        <f>97.88*N117</f>
        <v>12.626279212792131</v>
      </c>
      <c r="E117" s="392">
        <f t="shared" ref="E117:F117" si="210">97.88*O117</f>
        <v>85.253720787207882</v>
      </c>
      <c r="F117" s="392">
        <f t="shared" si="210"/>
        <v>0</v>
      </c>
      <c r="H117" s="91" t="s">
        <v>100</v>
      </c>
      <c r="J117" s="95">
        <v>16.78</v>
      </c>
      <c r="K117" s="95">
        <v>113.3</v>
      </c>
      <c r="L117" s="95">
        <v>0</v>
      </c>
      <c r="M117" s="95">
        <f t="shared" ref="M117:M125" si="211">SUM(J117:L117)</f>
        <v>130.07999999999998</v>
      </c>
      <c r="N117" s="91">
        <f t="shared" ref="N117:N128" si="212">J117/M117</f>
        <v>0.12899753997539978</v>
      </c>
      <c r="O117" s="91">
        <f t="shared" ref="O117:O128" si="213">K117/M117</f>
        <v>0.87100246002460036</v>
      </c>
      <c r="P117" s="91">
        <f t="shared" ref="P117:P128" si="214">L117/M117</f>
        <v>0</v>
      </c>
    </row>
    <row r="118" spans="1:17" ht="13.5" x14ac:dyDescent="0.25">
      <c r="A118" s="390">
        <v>98504</v>
      </c>
      <c r="B118" s="390" t="s">
        <v>1410</v>
      </c>
      <c r="C118" s="391" t="s">
        <v>57</v>
      </c>
      <c r="D118" s="392">
        <f>17.86*N118</f>
        <v>4.1097204301075267</v>
      </c>
      <c r="E118" s="392">
        <f>17.86*O118</f>
        <v>13.750279569892474</v>
      </c>
      <c r="F118" s="392">
        <f t="shared" ref="F118:F124" si="215">L118*$J$2</f>
        <v>0</v>
      </c>
      <c r="H118" s="91" t="s">
        <v>100</v>
      </c>
      <c r="J118" s="95">
        <v>3.21</v>
      </c>
      <c r="K118" s="95">
        <v>10.74</v>
      </c>
      <c r="L118" s="95">
        <v>0</v>
      </c>
      <c r="M118" s="95">
        <f t="shared" si="211"/>
        <v>13.95</v>
      </c>
      <c r="N118" s="91">
        <f t="shared" si="212"/>
        <v>0.23010752688172043</v>
      </c>
      <c r="O118" s="91">
        <f t="shared" si="213"/>
        <v>0.76989247311827957</v>
      </c>
      <c r="P118" s="91">
        <f t="shared" si="214"/>
        <v>0</v>
      </c>
    </row>
    <row r="119" spans="1:17" ht="13.5" x14ac:dyDescent="0.25">
      <c r="A119" s="390">
        <v>98505</v>
      </c>
      <c r="B119" s="390" t="s">
        <v>1411</v>
      </c>
      <c r="C119" s="391" t="s">
        <v>57</v>
      </c>
      <c r="D119" s="392">
        <f>38.06*N119</f>
        <v>6.2372091254752862</v>
      </c>
      <c r="E119" s="392">
        <f>38.06*O119</f>
        <v>31.822790874524721</v>
      </c>
      <c r="F119" s="392">
        <f t="shared" si="215"/>
        <v>0</v>
      </c>
      <c r="H119" s="91" t="s">
        <v>100</v>
      </c>
      <c r="J119" s="95">
        <v>4.3099999999999996</v>
      </c>
      <c r="K119" s="95">
        <v>21.99</v>
      </c>
      <c r="L119" s="95">
        <v>0</v>
      </c>
      <c r="M119" s="95">
        <f t="shared" si="211"/>
        <v>26.299999999999997</v>
      </c>
      <c r="N119" s="91">
        <f t="shared" si="212"/>
        <v>0.16387832699619773</v>
      </c>
      <c r="O119" s="91">
        <f t="shared" si="213"/>
        <v>0.83612167300380236</v>
      </c>
      <c r="P119" s="91">
        <f t="shared" si="214"/>
        <v>0</v>
      </c>
    </row>
    <row r="120" spans="1:17" ht="13.5" x14ac:dyDescent="0.25">
      <c r="A120" s="390">
        <v>98519</v>
      </c>
      <c r="B120" s="390" t="s">
        <v>1135</v>
      </c>
      <c r="C120" s="391" t="s">
        <v>57</v>
      </c>
      <c r="D120" s="392">
        <f>5.42*N120</f>
        <v>3.8131858407079644</v>
      </c>
      <c r="E120" s="392">
        <f>5.42*O120</f>
        <v>1.6068141592920351</v>
      </c>
      <c r="F120" s="392">
        <f t="shared" si="215"/>
        <v>0</v>
      </c>
      <c r="H120" s="91" t="s">
        <v>100</v>
      </c>
      <c r="J120" s="95">
        <v>1.59</v>
      </c>
      <c r="K120" s="95">
        <v>0.67</v>
      </c>
      <c r="L120" s="95">
        <v>0</v>
      </c>
      <c r="M120" s="95">
        <f t="shared" si="211"/>
        <v>2.2600000000000002</v>
      </c>
      <c r="N120" s="91">
        <f t="shared" si="212"/>
        <v>0.70353982300884954</v>
      </c>
      <c r="O120" s="91">
        <f t="shared" si="213"/>
        <v>0.2964601769911504</v>
      </c>
      <c r="P120" s="91">
        <f t="shared" si="214"/>
        <v>0</v>
      </c>
    </row>
    <row r="121" spans="1:17" ht="13.5" x14ac:dyDescent="0.25">
      <c r="A121" s="390">
        <v>98556</v>
      </c>
      <c r="B121" s="390" t="s">
        <v>1109</v>
      </c>
      <c r="C121" s="391" t="s">
        <v>57</v>
      </c>
      <c r="D121" s="392">
        <f>75.95*N121</f>
        <v>34.261591220850484</v>
      </c>
      <c r="E121" s="392">
        <f>75.95*O121</f>
        <v>41.688408779149519</v>
      </c>
      <c r="F121" s="392">
        <f t="shared" si="215"/>
        <v>0</v>
      </c>
      <c r="H121" s="91" t="s">
        <v>100</v>
      </c>
      <c r="J121" s="95">
        <v>23.02</v>
      </c>
      <c r="K121" s="95">
        <v>28.01</v>
      </c>
      <c r="L121" s="95">
        <v>0</v>
      </c>
      <c r="M121" s="95">
        <f t="shared" si="211"/>
        <v>51.03</v>
      </c>
      <c r="N121" s="91">
        <f t="shared" si="212"/>
        <v>0.45110719184793258</v>
      </c>
      <c r="O121" s="91">
        <f t="shared" si="213"/>
        <v>0.54889280815206742</v>
      </c>
      <c r="P121" s="91">
        <f t="shared" si="214"/>
        <v>0</v>
      </c>
    </row>
    <row r="122" spans="1:17" ht="13.5" x14ac:dyDescent="0.25">
      <c r="A122" s="390">
        <v>98561</v>
      </c>
      <c r="B122" s="390" t="s">
        <v>1106</v>
      </c>
      <c r="C122" s="391" t="s">
        <v>57</v>
      </c>
      <c r="D122" s="392">
        <f>64.34*N122</f>
        <v>35.63729777385938</v>
      </c>
      <c r="E122" s="392">
        <f t="shared" ref="E122:F122" si="216">64.34*O122</f>
        <v>28.631796341194629</v>
      </c>
      <c r="F122" s="392">
        <f t="shared" si="216"/>
        <v>7.0905884945999573E-2</v>
      </c>
      <c r="H122" s="91" t="s">
        <v>100</v>
      </c>
      <c r="J122" s="95">
        <v>25.13</v>
      </c>
      <c r="K122" s="95">
        <v>20.190000000000001</v>
      </c>
      <c r="L122" s="95">
        <v>0.05</v>
      </c>
      <c r="M122" s="95">
        <f t="shared" si="211"/>
        <v>45.37</v>
      </c>
      <c r="N122" s="91">
        <f t="shared" si="212"/>
        <v>0.55389023583865993</v>
      </c>
      <c r="O122" s="91">
        <f t="shared" si="213"/>
        <v>0.44500771434868863</v>
      </c>
      <c r="P122" s="91">
        <f t="shared" si="214"/>
        <v>1.1020498126515319E-3</v>
      </c>
      <c r="Q122" s="91" t="s">
        <v>2337</v>
      </c>
    </row>
    <row r="123" spans="1:17" ht="13.5" x14ac:dyDescent="0.25">
      <c r="A123" s="390">
        <v>98562</v>
      </c>
      <c r="B123" s="390" t="s">
        <v>94</v>
      </c>
      <c r="C123" s="391" t="s">
        <v>57</v>
      </c>
      <c r="D123" s="392">
        <f t="shared" ref="D123" si="217">J123*$J$2</f>
        <v>21.17</v>
      </c>
      <c r="E123" s="392">
        <f t="shared" ref="E123" si="218">K123*$J$2</f>
        <v>21.79</v>
      </c>
      <c r="F123" s="392">
        <f t="shared" si="215"/>
        <v>0.04</v>
      </c>
      <c r="H123" s="91" t="s">
        <v>100</v>
      </c>
      <c r="J123" s="95">
        <v>21.17</v>
      </c>
      <c r="K123" s="95">
        <v>21.79</v>
      </c>
      <c r="L123" s="95">
        <v>0.04</v>
      </c>
      <c r="M123" s="95">
        <f t="shared" si="211"/>
        <v>43</v>
      </c>
      <c r="N123" s="91">
        <f t="shared" si="212"/>
        <v>0.49232558139534888</v>
      </c>
      <c r="O123" s="91">
        <f t="shared" si="213"/>
        <v>0.50674418604651161</v>
      </c>
      <c r="P123" s="91">
        <f t="shared" si="214"/>
        <v>9.3023255813953494E-4</v>
      </c>
    </row>
    <row r="124" spans="1:17" ht="13.5" x14ac:dyDescent="0.25">
      <c r="A124" s="390">
        <v>98563</v>
      </c>
      <c r="B124" s="390" t="s">
        <v>1107</v>
      </c>
      <c r="C124" s="391" t="s">
        <v>57</v>
      </c>
      <c r="D124" s="392">
        <f>46.94*N124</f>
        <v>21.171147067321581</v>
      </c>
      <c r="E124" s="392">
        <f>46.94*O124</f>
        <v>25.768852932678413</v>
      </c>
      <c r="F124" s="392">
        <f t="shared" si="215"/>
        <v>0</v>
      </c>
      <c r="H124" s="91" t="s">
        <v>100</v>
      </c>
      <c r="J124" s="95">
        <v>15.61</v>
      </c>
      <c r="K124" s="95">
        <v>19</v>
      </c>
      <c r="L124" s="95">
        <v>0</v>
      </c>
      <c r="M124" s="95">
        <f t="shared" si="211"/>
        <v>34.61</v>
      </c>
      <c r="N124" s="91">
        <f t="shared" si="212"/>
        <v>0.45102571511123951</v>
      </c>
      <c r="O124" s="91">
        <f t="shared" si="213"/>
        <v>0.54897428488876043</v>
      </c>
      <c r="P124" s="91">
        <f t="shared" si="214"/>
        <v>0</v>
      </c>
    </row>
    <row r="125" spans="1:17" ht="13.5" x14ac:dyDescent="0.25">
      <c r="A125" s="390">
        <v>98565</v>
      </c>
      <c r="B125" s="390" t="s">
        <v>1108</v>
      </c>
      <c r="C125" s="391" t="s">
        <v>57</v>
      </c>
      <c r="D125" s="392">
        <f>67.19*N125</f>
        <v>31.753535977675899</v>
      </c>
      <c r="E125" s="392">
        <f t="shared" ref="E125:F125" si="219">67.19*O125</f>
        <v>35.436464022324095</v>
      </c>
      <c r="F125" s="392">
        <f t="shared" si="219"/>
        <v>0</v>
      </c>
      <c r="H125" s="91" t="s">
        <v>100</v>
      </c>
      <c r="J125" s="95">
        <v>23.71</v>
      </c>
      <c r="K125" s="95">
        <v>26.46</v>
      </c>
      <c r="L125" s="95">
        <v>0</v>
      </c>
      <c r="M125" s="95">
        <f t="shared" si="211"/>
        <v>50.17</v>
      </c>
      <c r="N125" s="91">
        <f t="shared" si="212"/>
        <v>0.47259318317719751</v>
      </c>
      <c r="O125" s="91">
        <f t="shared" si="213"/>
        <v>0.52740681682280244</v>
      </c>
      <c r="P125" s="91">
        <f t="shared" si="214"/>
        <v>0</v>
      </c>
    </row>
    <row r="126" spans="1:17" ht="13.5" x14ac:dyDescent="0.25">
      <c r="A126" s="390">
        <v>98566</v>
      </c>
      <c r="B126" s="390" t="s">
        <v>1152</v>
      </c>
      <c r="C126" s="391" t="s">
        <v>57</v>
      </c>
      <c r="D126" s="392">
        <f>80.83*N126</f>
        <v>29.544758620689652</v>
      </c>
      <c r="E126" s="392">
        <f>80.83*O126</f>
        <v>51.285241379310335</v>
      </c>
      <c r="F126" s="392">
        <f t="shared" ref="F126:F130" si="220">L126*$J$2</f>
        <v>0</v>
      </c>
      <c r="H126" s="91" t="s">
        <v>100</v>
      </c>
      <c r="J126" s="95">
        <v>24.91</v>
      </c>
      <c r="K126" s="95">
        <v>43.24</v>
      </c>
      <c r="L126" s="95">
        <v>0</v>
      </c>
      <c r="M126" s="95">
        <f t="shared" ref="M126:M130" si="221">SUM(J126:L126)</f>
        <v>68.150000000000006</v>
      </c>
      <c r="N126" s="91">
        <f t="shared" si="212"/>
        <v>0.3655172413793103</v>
      </c>
      <c r="O126" s="91">
        <f t="shared" si="213"/>
        <v>0.63448275862068959</v>
      </c>
      <c r="P126" s="91">
        <f t="shared" si="214"/>
        <v>0</v>
      </c>
    </row>
    <row r="127" spans="1:17" ht="13.5" x14ac:dyDescent="0.25">
      <c r="A127" s="390">
        <v>98575</v>
      </c>
      <c r="B127" s="390" t="s">
        <v>1101</v>
      </c>
      <c r="C127" s="391" t="s">
        <v>2</v>
      </c>
      <c r="D127" s="392">
        <f t="shared" ref="D127" si="222">J127*$J$2</f>
        <v>47.92</v>
      </c>
      <c r="E127" s="392">
        <f t="shared" ref="E127" si="223">K127*$J$2</f>
        <v>58.96</v>
      </c>
      <c r="F127" s="392">
        <f t="shared" si="220"/>
        <v>0</v>
      </c>
      <c r="H127" s="91" t="s">
        <v>100</v>
      </c>
      <c r="J127" s="95">
        <v>47.92</v>
      </c>
      <c r="K127" s="95">
        <v>58.96</v>
      </c>
      <c r="L127" s="95">
        <v>0</v>
      </c>
      <c r="M127" s="95">
        <f t="shared" si="221"/>
        <v>106.88</v>
      </c>
      <c r="N127" s="91">
        <f t="shared" si="212"/>
        <v>0.4483532934131737</v>
      </c>
      <c r="O127" s="91">
        <f t="shared" si="213"/>
        <v>0.55164670658682635</v>
      </c>
      <c r="P127" s="91">
        <f t="shared" si="214"/>
        <v>0</v>
      </c>
    </row>
    <row r="128" spans="1:17" ht="13.5" x14ac:dyDescent="0.25">
      <c r="A128" s="390">
        <v>98577</v>
      </c>
      <c r="B128" s="390" t="s">
        <v>1100</v>
      </c>
      <c r="C128" s="391" t="s">
        <v>2</v>
      </c>
      <c r="D128" s="392">
        <f>64.22*N128</f>
        <v>39.212373635260818</v>
      </c>
      <c r="E128" s="392">
        <f>64.22*O128</f>
        <v>25.007626364739185</v>
      </c>
      <c r="F128" s="392">
        <f t="shared" si="220"/>
        <v>0</v>
      </c>
      <c r="H128" s="91" t="s">
        <v>100</v>
      </c>
      <c r="J128" s="95">
        <v>30.2</v>
      </c>
      <c r="K128" s="95">
        <v>19.260000000000002</v>
      </c>
      <c r="L128" s="95">
        <v>0</v>
      </c>
      <c r="M128" s="95">
        <f t="shared" si="221"/>
        <v>49.46</v>
      </c>
      <c r="N128" s="91">
        <f t="shared" si="212"/>
        <v>0.61059441973311768</v>
      </c>
      <c r="O128" s="91">
        <f t="shared" si="213"/>
        <v>0.38940558026688238</v>
      </c>
      <c r="P128" s="91">
        <f t="shared" si="214"/>
        <v>0</v>
      </c>
    </row>
    <row r="129" spans="1:16" ht="13.5" x14ac:dyDescent="0.25">
      <c r="A129" s="390">
        <v>99054</v>
      </c>
      <c r="B129" s="390" t="s">
        <v>1115</v>
      </c>
      <c r="C129" s="391" t="s">
        <v>57</v>
      </c>
      <c r="D129" s="392">
        <f>78.89*N129</f>
        <v>44.075529738165422</v>
      </c>
      <c r="E129" s="392">
        <f>78.89*O129</f>
        <v>34.814470261834579</v>
      </c>
      <c r="F129" s="392">
        <f t="shared" si="220"/>
        <v>0</v>
      </c>
      <c r="H129" s="91" t="s">
        <v>100</v>
      </c>
      <c r="J129" s="95">
        <v>32.22</v>
      </c>
      <c r="K129" s="95">
        <v>25.45</v>
      </c>
      <c r="L129" s="95">
        <v>0</v>
      </c>
      <c r="M129" s="95">
        <f t="shared" si="221"/>
        <v>57.67</v>
      </c>
      <c r="N129" s="91">
        <f t="shared" ref="N129:N130" si="224">J129/M129</f>
        <v>0.55869602913126404</v>
      </c>
      <c r="O129" s="91">
        <f t="shared" ref="O129:O130" si="225">K129/M129</f>
        <v>0.44130397086873591</v>
      </c>
      <c r="P129" s="91">
        <f t="shared" ref="P129:P130" si="226">L129/M129</f>
        <v>0</v>
      </c>
    </row>
    <row r="130" spans="1:16" ht="13.5" x14ac:dyDescent="0.25">
      <c r="A130" s="390">
        <v>99059</v>
      </c>
      <c r="B130" s="390" t="s">
        <v>183</v>
      </c>
      <c r="C130" s="391" t="s">
        <v>2</v>
      </c>
      <c r="D130" s="392">
        <f>83.94*N130</f>
        <v>34.407897130312058</v>
      </c>
      <c r="E130" s="392">
        <f>83.94*O130</f>
        <v>49.53210286968794</v>
      </c>
      <c r="F130" s="392">
        <f t="shared" si="220"/>
        <v>0</v>
      </c>
      <c r="H130" s="91" t="s">
        <v>100</v>
      </c>
      <c r="J130" s="95">
        <v>26.14</v>
      </c>
      <c r="K130" s="95">
        <v>37.630000000000003</v>
      </c>
      <c r="L130" s="95">
        <v>0</v>
      </c>
      <c r="M130" s="95">
        <f t="shared" si="221"/>
        <v>63.77</v>
      </c>
      <c r="N130" s="91">
        <f t="shared" si="224"/>
        <v>0.40991061627724634</v>
      </c>
      <c r="O130" s="91">
        <f t="shared" si="225"/>
        <v>0.59008938372275366</v>
      </c>
      <c r="P130" s="91">
        <f t="shared" si="226"/>
        <v>0</v>
      </c>
    </row>
    <row r="131" spans="1:16" ht="13.5" x14ac:dyDescent="0.25">
      <c r="A131" s="390">
        <v>99253</v>
      </c>
      <c r="B131" s="390" t="s">
        <v>1917</v>
      </c>
      <c r="C131" s="391" t="s">
        <v>3</v>
      </c>
      <c r="D131" s="392">
        <f>689.33*N131</f>
        <v>315.89817953389957</v>
      </c>
      <c r="E131" s="392">
        <f t="shared" ref="E131:F131" si="227">689.33*O131</f>
        <v>371.18314647191937</v>
      </c>
      <c r="F131" s="392">
        <f t="shared" si="227"/>
        <v>2.2486739941810918</v>
      </c>
      <c r="H131" s="91" t="s">
        <v>100</v>
      </c>
      <c r="J131" s="95">
        <v>311.87</v>
      </c>
      <c r="K131" s="95">
        <v>366.45</v>
      </c>
      <c r="L131" s="95">
        <v>2.2200000000000002</v>
      </c>
      <c r="M131" s="95">
        <f t="shared" ref="M131:M133" si="228">SUM(J131:L131)</f>
        <v>680.54</v>
      </c>
      <c r="N131" s="91">
        <f t="shared" ref="N131:N133" si="229">J131/M131</f>
        <v>0.45826843389073385</v>
      </c>
      <c r="O131" s="91">
        <f t="shared" ref="O131:O133" si="230">K131/M131</f>
        <v>0.53846945073030239</v>
      </c>
      <c r="P131" s="91">
        <f t="shared" ref="P131:P133" si="231">L131/M131</f>
        <v>3.2621153789637643E-3</v>
      </c>
    </row>
    <row r="132" spans="1:16" ht="13.5" x14ac:dyDescent="0.25">
      <c r="A132" s="390">
        <v>99255</v>
      </c>
      <c r="B132" s="390" t="s">
        <v>1918</v>
      </c>
      <c r="C132" s="391" t="s">
        <v>3</v>
      </c>
      <c r="D132" s="392">
        <f>959.69*N132</f>
        <v>440.94142988880429</v>
      </c>
      <c r="E132" s="392">
        <f t="shared" ref="E132:F132" si="232">959.69*O132</f>
        <v>515.15715469820611</v>
      </c>
      <c r="F132" s="392">
        <f t="shared" si="232"/>
        <v>3.591415412989631</v>
      </c>
      <c r="H132" s="91" t="s">
        <v>100</v>
      </c>
      <c r="J132" s="95">
        <v>428.49</v>
      </c>
      <c r="K132" s="95">
        <v>500.61</v>
      </c>
      <c r="L132" s="95">
        <v>3.49</v>
      </c>
      <c r="M132" s="95">
        <f t="shared" si="228"/>
        <v>932.59</v>
      </c>
      <c r="N132" s="91">
        <f t="shared" si="229"/>
        <v>0.45946235752045378</v>
      </c>
      <c r="O132" s="91">
        <f t="shared" si="230"/>
        <v>0.53679537631756724</v>
      </c>
      <c r="P132" s="91">
        <f t="shared" si="231"/>
        <v>3.7422661619790046E-3</v>
      </c>
    </row>
    <row r="133" spans="1:16" ht="13.5" x14ac:dyDescent="0.25">
      <c r="A133" s="390">
        <v>99257</v>
      </c>
      <c r="B133" s="390" t="s">
        <v>1919</v>
      </c>
      <c r="C133" s="391" t="s">
        <v>3</v>
      </c>
      <c r="D133" s="392">
        <f>1107.39*N133</f>
        <v>480.65554503192106</v>
      </c>
      <c r="E133" s="392">
        <f t="shared" ref="E133:F133" si="233">1107.39*O133</f>
        <v>622.61798911306164</v>
      </c>
      <c r="F133" s="392">
        <f t="shared" si="233"/>
        <v>4.1164658550173998</v>
      </c>
      <c r="H133" s="91" t="s">
        <v>100</v>
      </c>
      <c r="J133" s="95">
        <v>475.23</v>
      </c>
      <c r="K133" s="95">
        <v>615.59</v>
      </c>
      <c r="L133" s="95">
        <v>4.07</v>
      </c>
      <c r="M133" s="95">
        <f t="shared" si="228"/>
        <v>1094.8900000000001</v>
      </c>
      <c r="N133" s="91">
        <f t="shared" si="229"/>
        <v>0.43404360255368118</v>
      </c>
      <c r="O133" s="91">
        <f t="shared" si="230"/>
        <v>0.5622391290449269</v>
      </c>
      <c r="P133" s="91">
        <f t="shared" si="231"/>
        <v>3.7172684013919207E-3</v>
      </c>
    </row>
    <row r="134" spans="1:16" ht="13.5" x14ac:dyDescent="0.25">
      <c r="A134" s="390">
        <v>99803</v>
      </c>
      <c r="B134" s="390" t="s">
        <v>1883</v>
      </c>
      <c r="C134" s="391" t="s">
        <v>57</v>
      </c>
      <c r="D134" s="392">
        <f>5.31*N134</f>
        <v>3.6939130434782612</v>
      </c>
      <c r="E134" s="392">
        <f>5.31*O134</f>
        <v>1.6160869565217391</v>
      </c>
      <c r="F134" s="392">
        <f t="shared" ref="F134:F136" si="234">L134*$J$2</f>
        <v>0</v>
      </c>
      <c r="H134" s="91" t="s">
        <v>100</v>
      </c>
      <c r="J134" s="95">
        <v>1.6</v>
      </c>
      <c r="K134" s="95">
        <v>0.7</v>
      </c>
      <c r="L134" s="95">
        <v>0</v>
      </c>
      <c r="M134" s="95">
        <f t="shared" ref="M134:M136" si="235">SUM(J134:L134)</f>
        <v>2.2999999999999998</v>
      </c>
      <c r="N134" s="91">
        <f t="shared" ref="N134:N141" si="236">J134/M134</f>
        <v>0.69565217391304357</v>
      </c>
      <c r="O134" s="91">
        <f t="shared" ref="O134:O141" si="237">K134/M134</f>
        <v>0.30434782608695654</v>
      </c>
      <c r="P134" s="91">
        <f t="shared" ref="P134:P141" si="238">L134/M134</f>
        <v>0</v>
      </c>
    </row>
    <row r="135" spans="1:16" ht="13.5" x14ac:dyDescent="0.25">
      <c r="A135" s="390">
        <v>99806</v>
      </c>
      <c r="B135" s="390" t="s">
        <v>1138</v>
      </c>
      <c r="C135" s="391" t="s">
        <v>57</v>
      </c>
      <c r="D135" s="392">
        <f>3.76*N135</f>
        <v>2.6517894736842105</v>
      </c>
      <c r="E135" s="392">
        <f>3.76*O135</f>
        <v>1.1082105263157895</v>
      </c>
      <c r="F135" s="392">
        <f t="shared" si="234"/>
        <v>0</v>
      </c>
      <c r="H135" s="91" t="s">
        <v>100</v>
      </c>
      <c r="J135" s="95">
        <v>0.67</v>
      </c>
      <c r="K135" s="95">
        <v>0.28000000000000003</v>
      </c>
      <c r="L135" s="95">
        <v>0</v>
      </c>
      <c r="M135" s="95">
        <f t="shared" si="235"/>
        <v>0.95000000000000007</v>
      </c>
      <c r="N135" s="91">
        <f t="shared" si="236"/>
        <v>0.70526315789473681</v>
      </c>
      <c r="O135" s="91">
        <f t="shared" si="237"/>
        <v>0.29473684210526319</v>
      </c>
      <c r="P135" s="91">
        <f t="shared" si="238"/>
        <v>0</v>
      </c>
    </row>
    <row r="136" spans="1:16" ht="13.5" x14ac:dyDescent="0.25">
      <c r="A136" s="390">
        <v>99810</v>
      </c>
      <c r="B136" s="390" t="s">
        <v>1139</v>
      </c>
      <c r="C136" s="391" t="s">
        <v>57</v>
      </c>
      <c r="D136" s="392">
        <f>8.78*N136</f>
        <v>5.9902955665024615</v>
      </c>
      <c r="E136" s="392">
        <f>8.78*O136</f>
        <v>2.7897044334975361</v>
      </c>
      <c r="F136" s="392">
        <f t="shared" si="234"/>
        <v>0</v>
      </c>
      <c r="H136" s="91" t="s">
        <v>100</v>
      </c>
      <c r="J136" s="95">
        <v>5.54</v>
      </c>
      <c r="K136" s="95">
        <v>2.58</v>
      </c>
      <c r="L136" s="95">
        <v>0</v>
      </c>
      <c r="M136" s="95">
        <f t="shared" si="235"/>
        <v>8.120000000000001</v>
      </c>
      <c r="N136" s="91">
        <f t="shared" si="236"/>
        <v>0.68226600985221664</v>
      </c>
      <c r="O136" s="91">
        <f t="shared" si="237"/>
        <v>0.3177339901477832</v>
      </c>
      <c r="P136" s="91">
        <f t="shared" si="238"/>
        <v>0</v>
      </c>
    </row>
    <row r="137" spans="1:16" ht="13.5" x14ac:dyDescent="0.25">
      <c r="A137" s="390">
        <v>99815</v>
      </c>
      <c r="B137" s="390" t="s">
        <v>1140</v>
      </c>
      <c r="C137" s="391" t="s">
        <v>3</v>
      </c>
      <c r="D137" s="392">
        <f>11.61*N137</f>
        <v>6.0074999999999985</v>
      </c>
      <c r="E137" s="392">
        <f>11.61*O137</f>
        <v>5.6024999999999991</v>
      </c>
      <c r="F137" s="392">
        <f t="shared" ref="F137:F141" si="239">L137*$J$2</f>
        <v>0</v>
      </c>
      <c r="H137" s="91" t="s">
        <v>100</v>
      </c>
      <c r="J137" s="95">
        <v>4.45</v>
      </c>
      <c r="K137" s="95">
        <v>4.1500000000000004</v>
      </c>
      <c r="L137" s="95">
        <v>0</v>
      </c>
      <c r="M137" s="95">
        <f t="shared" ref="M137:M141" si="240">SUM(J137:L137)</f>
        <v>8.6000000000000014</v>
      </c>
      <c r="N137" s="91">
        <f t="shared" si="236"/>
        <v>0.5174418604651162</v>
      </c>
      <c r="O137" s="91">
        <f t="shared" si="237"/>
        <v>0.48255813953488369</v>
      </c>
      <c r="P137" s="91">
        <f t="shared" si="238"/>
        <v>0</v>
      </c>
    </row>
    <row r="138" spans="1:16" ht="13.5" x14ac:dyDescent="0.25">
      <c r="A138" s="390">
        <v>99816</v>
      </c>
      <c r="B138" s="390" t="s">
        <v>1141</v>
      </c>
      <c r="C138" s="391" t="s">
        <v>3</v>
      </c>
      <c r="D138" s="392">
        <f>11.14*N138</f>
        <v>5.8912295973884659</v>
      </c>
      <c r="E138" s="392">
        <f>11.14*O138</f>
        <v>5.2487704026115338</v>
      </c>
      <c r="F138" s="392">
        <f t="shared" si="239"/>
        <v>0</v>
      </c>
      <c r="H138" s="91" t="s">
        <v>100</v>
      </c>
      <c r="J138" s="95">
        <v>4.8600000000000003</v>
      </c>
      <c r="K138" s="95">
        <v>4.33</v>
      </c>
      <c r="L138" s="95">
        <v>0</v>
      </c>
      <c r="M138" s="95">
        <f t="shared" si="240"/>
        <v>9.1900000000000013</v>
      </c>
      <c r="N138" s="91">
        <f t="shared" si="236"/>
        <v>0.52883569096844396</v>
      </c>
      <c r="O138" s="91">
        <f t="shared" si="237"/>
        <v>0.47116430903155598</v>
      </c>
      <c r="P138" s="91">
        <f t="shared" si="238"/>
        <v>0</v>
      </c>
    </row>
    <row r="139" spans="1:16" ht="13.5" x14ac:dyDescent="0.25">
      <c r="A139" s="390">
        <v>99817</v>
      </c>
      <c r="B139" s="390" t="s">
        <v>1142</v>
      </c>
      <c r="C139" s="391" t="s">
        <v>3</v>
      </c>
      <c r="D139" s="392">
        <f>7.97*N139</f>
        <v>3.1816996047430828</v>
      </c>
      <c r="E139" s="392">
        <f>7.97*O139</f>
        <v>4.7883003952569165</v>
      </c>
      <c r="F139" s="392">
        <f t="shared" si="239"/>
        <v>0</v>
      </c>
      <c r="H139" s="91" t="s">
        <v>100</v>
      </c>
      <c r="J139" s="95">
        <v>2.02</v>
      </c>
      <c r="K139" s="95">
        <v>3.04</v>
      </c>
      <c r="L139" s="95">
        <v>0</v>
      </c>
      <c r="M139" s="95">
        <f t="shared" si="240"/>
        <v>5.0600000000000005</v>
      </c>
      <c r="N139" s="91">
        <f t="shared" si="236"/>
        <v>0.39920948616600788</v>
      </c>
      <c r="O139" s="91">
        <f t="shared" si="237"/>
        <v>0.60079051383399207</v>
      </c>
      <c r="P139" s="91">
        <f t="shared" si="238"/>
        <v>0</v>
      </c>
    </row>
    <row r="140" spans="1:16" ht="13.5" x14ac:dyDescent="0.25">
      <c r="A140" s="390">
        <v>99818</v>
      </c>
      <c r="B140" s="390" t="s">
        <v>1143</v>
      </c>
      <c r="C140" s="391" t="s">
        <v>3</v>
      </c>
      <c r="D140" s="392">
        <f>6.85*N140</f>
        <v>2.734584980237154</v>
      </c>
      <c r="E140" s="392">
        <f>6.85*O140</f>
        <v>4.1154150197628452</v>
      </c>
      <c r="F140" s="392">
        <f t="shared" si="239"/>
        <v>0</v>
      </c>
      <c r="H140" s="91" t="s">
        <v>100</v>
      </c>
      <c r="J140" s="95">
        <v>2.02</v>
      </c>
      <c r="K140" s="95">
        <v>3.04</v>
      </c>
      <c r="L140" s="95">
        <v>0</v>
      </c>
      <c r="M140" s="95">
        <f t="shared" si="240"/>
        <v>5.0600000000000005</v>
      </c>
      <c r="N140" s="91">
        <f t="shared" si="236"/>
        <v>0.39920948616600788</v>
      </c>
      <c r="O140" s="91">
        <f t="shared" si="237"/>
        <v>0.60079051383399207</v>
      </c>
      <c r="P140" s="91">
        <f t="shared" si="238"/>
        <v>0</v>
      </c>
    </row>
    <row r="141" spans="1:16" ht="13.5" x14ac:dyDescent="0.25">
      <c r="A141" s="390">
        <v>99821</v>
      </c>
      <c r="B141" s="390" t="s">
        <v>1144</v>
      </c>
      <c r="C141" s="391" t="s">
        <v>57</v>
      </c>
      <c r="D141" s="392">
        <f>6.38*N141</f>
        <v>3.2328187919463085</v>
      </c>
      <c r="E141" s="392">
        <f>6.38*O141</f>
        <v>3.1471812080536914</v>
      </c>
      <c r="F141" s="392">
        <f t="shared" si="239"/>
        <v>0</v>
      </c>
      <c r="H141" s="91" t="s">
        <v>100</v>
      </c>
      <c r="J141" s="95">
        <v>1.51</v>
      </c>
      <c r="K141" s="95">
        <v>1.47</v>
      </c>
      <c r="L141" s="95">
        <v>0</v>
      </c>
      <c r="M141" s="95">
        <f t="shared" si="240"/>
        <v>2.98</v>
      </c>
      <c r="N141" s="91">
        <f t="shared" si="236"/>
        <v>0.50671140939597314</v>
      </c>
      <c r="O141" s="91">
        <f t="shared" si="237"/>
        <v>0.49328859060402686</v>
      </c>
      <c r="P141" s="91">
        <f t="shared" si="238"/>
        <v>0</v>
      </c>
    </row>
    <row r="142" spans="1:16" ht="13.5" x14ac:dyDescent="0.25">
      <c r="A142" s="390">
        <v>100289</v>
      </c>
      <c r="B142" s="390" t="s">
        <v>2335</v>
      </c>
      <c r="C142" s="391" t="s">
        <v>48</v>
      </c>
      <c r="D142" s="392">
        <f>34.34*N142</f>
        <v>23.798745901639347</v>
      </c>
      <c r="E142" s="392">
        <f>34.34*O142</f>
        <v>10.541254098360657</v>
      </c>
      <c r="F142" s="392">
        <f t="shared" ref="F142" si="241">L142*$J$2</f>
        <v>0</v>
      </c>
      <c r="H142" s="91" t="s">
        <v>100</v>
      </c>
      <c r="J142" s="95">
        <v>16.91</v>
      </c>
      <c r="K142" s="95">
        <v>7.49</v>
      </c>
      <c r="L142" s="95">
        <v>0</v>
      </c>
      <c r="M142" s="95">
        <f t="shared" ref="M142" si="242">SUM(J142:L142)</f>
        <v>24.4</v>
      </c>
      <c r="N142" s="91">
        <f t="shared" ref="N142" si="243">J142/M142</f>
        <v>0.69303278688524594</v>
      </c>
      <c r="O142" s="91">
        <f t="shared" ref="O142" si="244">K142/M142</f>
        <v>0.30696721311475411</v>
      </c>
      <c r="P142" s="91">
        <f t="shared" ref="P142" si="245">L142/M142</f>
        <v>0</v>
      </c>
    </row>
    <row r="143" spans="1:16" ht="13.5" x14ac:dyDescent="0.25">
      <c r="A143" s="390">
        <v>100321</v>
      </c>
      <c r="B143" s="390" t="s">
        <v>124</v>
      </c>
      <c r="C143" s="391" t="s">
        <v>24</v>
      </c>
      <c r="D143" s="392">
        <f>9710.1*$N$143</f>
        <v>9307.4124489444894</v>
      </c>
      <c r="E143" s="392">
        <f>9710.1*$N$143</f>
        <v>9307.4124489444894</v>
      </c>
      <c r="F143" s="392">
        <f t="shared" ref="F143" si="246">L143*$J$2</f>
        <v>0</v>
      </c>
      <c r="H143" s="91" t="s">
        <v>100</v>
      </c>
      <c r="J143" s="95">
        <v>7021.57</v>
      </c>
      <c r="K143" s="95">
        <v>303.79000000000002</v>
      </c>
      <c r="L143" s="95">
        <v>0</v>
      </c>
      <c r="M143" s="95">
        <f t="shared" ref="M143" si="247">SUM(J143:L143)</f>
        <v>7325.36</v>
      </c>
      <c r="N143" s="91">
        <f t="shared" ref="N143" si="248">J143/M143</f>
        <v>0.95852900062249502</v>
      </c>
      <c r="O143" s="91">
        <f t="shared" ref="O143" si="249">K143/M143</f>
        <v>4.1470999377505001E-2</v>
      </c>
      <c r="P143" s="91">
        <f t="shared" ref="P143" si="250">L143/M143</f>
        <v>0</v>
      </c>
    </row>
    <row r="144" spans="1:16" ht="13.5" x14ac:dyDescent="0.25">
      <c r="A144" s="390">
        <v>100534</v>
      </c>
      <c r="B144" s="390" t="s">
        <v>126</v>
      </c>
      <c r="C144" s="391" t="s">
        <v>24</v>
      </c>
      <c r="D144" s="392">
        <f>5293.71*N144</f>
        <v>4885.2044228077621</v>
      </c>
      <c r="E144" s="392">
        <f>5293.71*O144</f>
        <v>408.50557719223826</v>
      </c>
      <c r="F144" s="392">
        <f t="shared" ref="F144" si="251">L144*$J$2</f>
        <v>0</v>
      </c>
      <c r="H144" s="91" t="s">
        <v>100</v>
      </c>
      <c r="J144" s="95">
        <v>3632.94</v>
      </c>
      <c r="K144" s="95">
        <v>303.79000000000002</v>
      </c>
      <c r="L144" s="95">
        <v>0</v>
      </c>
      <c r="M144" s="95">
        <f t="shared" ref="M144" si="252">SUM(J144:L144)</f>
        <v>3936.73</v>
      </c>
      <c r="N144" s="91">
        <f t="shared" ref="N144" si="253">J144/M144</f>
        <v>0.92283189347504146</v>
      </c>
      <c r="O144" s="91">
        <f t="shared" ref="O144" si="254">K144/M144</f>
        <v>7.7168106524958535E-2</v>
      </c>
      <c r="P144" s="91">
        <f t="shared" ref="P144" si="255">L144/M144</f>
        <v>0</v>
      </c>
    </row>
    <row r="145" spans="1:16" ht="13.5" x14ac:dyDescent="0.25">
      <c r="A145" s="390">
        <v>100726</v>
      </c>
      <c r="B145" s="390" t="s">
        <v>1882</v>
      </c>
      <c r="C145" s="391" t="s">
        <v>57</v>
      </c>
      <c r="D145" s="392">
        <f t="shared" ref="D145" ca="1" si="256">J145*$J$2</f>
        <v>25.109951978235316</v>
      </c>
      <c r="E145" s="392">
        <f t="shared" ref="E145" ca="1" si="257">K145*$J$2</f>
        <v>13.270048021764685</v>
      </c>
      <c r="F145" s="392">
        <f t="shared" ref="F145" si="258">L145*$J$2</f>
        <v>0</v>
      </c>
      <c r="H145" s="91" t="s">
        <v>100</v>
      </c>
      <c r="J145" s="95">
        <f ca="1">38.38*N145</f>
        <v>25.109951978235316</v>
      </c>
      <c r="K145" s="95">
        <f ca="1">38.38*O145</f>
        <v>13.270048021764685</v>
      </c>
      <c r="L145" s="95">
        <v>0</v>
      </c>
      <c r="M145" s="95">
        <f t="shared" ref="M145" ca="1" si="259">SUM(J145:L145)</f>
        <v>38.380000000000003</v>
      </c>
      <c r="N145" s="91">
        <f t="shared" ref="N145" ca="1" si="260">J145/M145</f>
        <v>0.65424575242926819</v>
      </c>
      <c r="O145" s="91">
        <f t="shared" ref="O145" ca="1" si="261">K145/M145</f>
        <v>0.34575424757073175</v>
      </c>
      <c r="P145" s="91">
        <f t="shared" ref="P145" ca="1" si="262">L145/M145</f>
        <v>0</v>
      </c>
    </row>
    <row r="146" spans="1:16" ht="13.5" x14ac:dyDescent="0.25">
      <c r="A146" s="390">
        <v>100858</v>
      </c>
      <c r="B146" s="390" t="s">
        <v>1789</v>
      </c>
      <c r="C146" s="391" t="s">
        <v>3</v>
      </c>
      <c r="D146" s="392">
        <f>734.68*N146</f>
        <v>28.953060483069848</v>
      </c>
      <c r="E146" s="392">
        <f>734.68*O146</f>
        <v>705.72693951693009</v>
      </c>
      <c r="F146" s="392">
        <f t="shared" ref="F146:F149" si="263">L146*$J$2</f>
        <v>0</v>
      </c>
      <c r="H146" s="91" t="s">
        <v>100</v>
      </c>
      <c r="J146" s="95">
        <v>27.77</v>
      </c>
      <c r="K146" s="95">
        <v>676.89</v>
      </c>
      <c r="L146" s="95">
        <v>0</v>
      </c>
      <c r="M146" s="95">
        <f t="shared" ref="M146:M149" si="264">SUM(J146:L146)</f>
        <v>704.66</v>
      </c>
      <c r="N146" s="91">
        <f t="shared" ref="N146:N149" si="265">J146/M146</f>
        <v>3.9409076717849746E-2</v>
      </c>
      <c r="O146" s="91">
        <f t="shared" ref="O146:O149" si="266">K146/M146</f>
        <v>0.96059092328215023</v>
      </c>
      <c r="P146" s="91">
        <f t="shared" ref="P146:P149" si="267">L146/M146</f>
        <v>0</v>
      </c>
    </row>
    <row r="147" spans="1:16" ht="13.5" x14ac:dyDescent="0.25">
      <c r="A147" s="390">
        <v>100867</v>
      </c>
      <c r="B147" s="390" t="s">
        <v>1796</v>
      </c>
      <c r="C147" s="391" t="s">
        <v>3</v>
      </c>
      <c r="D147" s="392">
        <f>289.54*N147</f>
        <v>23.802428764837376</v>
      </c>
      <c r="E147" s="392">
        <f t="shared" ref="E147:F147" si="268">289.54*O147</f>
        <v>265.73757123516259</v>
      </c>
      <c r="F147" s="392">
        <f t="shared" si="268"/>
        <v>0</v>
      </c>
      <c r="H147" s="91" t="s">
        <v>100</v>
      </c>
      <c r="J147" s="95">
        <v>26.11</v>
      </c>
      <c r="K147" s="95">
        <v>291.5</v>
      </c>
      <c r="L147" s="95">
        <v>0</v>
      </c>
      <c r="M147" s="95">
        <f t="shared" si="264"/>
        <v>317.61</v>
      </c>
      <c r="N147" s="91">
        <f t="shared" si="265"/>
        <v>8.2207739051037426E-2</v>
      </c>
      <c r="O147" s="91">
        <f t="shared" si="266"/>
        <v>0.91779226094896249</v>
      </c>
      <c r="P147" s="91">
        <f t="shared" si="267"/>
        <v>0</v>
      </c>
    </row>
    <row r="148" spans="1:16" ht="13.5" x14ac:dyDescent="0.25">
      <c r="A148" s="390">
        <v>100868</v>
      </c>
      <c r="B148" s="390" t="s">
        <v>1797</v>
      </c>
      <c r="C148" s="391" t="s">
        <v>3</v>
      </c>
      <c r="D148" s="392">
        <f>297.12*N148</f>
        <v>23.688672020519711</v>
      </c>
      <c r="E148" s="392">
        <f>297.12*O148</f>
        <v>273.43132797948027</v>
      </c>
      <c r="F148" s="392">
        <f t="shared" si="263"/>
        <v>0</v>
      </c>
      <c r="H148" s="91" t="s">
        <v>100</v>
      </c>
      <c r="J148" s="95">
        <v>26.11</v>
      </c>
      <c r="K148" s="95">
        <v>301.38</v>
      </c>
      <c r="L148" s="95">
        <v>0</v>
      </c>
      <c r="M148" s="95">
        <f t="shared" si="264"/>
        <v>327.49</v>
      </c>
      <c r="N148" s="91">
        <f t="shared" si="265"/>
        <v>7.9727625271000635E-2</v>
      </c>
      <c r="O148" s="91">
        <f t="shared" si="266"/>
        <v>0.92027237472899936</v>
      </c>
      <c r="P148" s="91">
        <f t="shared" si="267"/>
        <v>0</v>
      </c>
    </row>
    <row r="149" spans="1:16" ht="13.5" x14ac:dyDescent="0.25">
      <c r="A149" s="390">
        <v>100874</v>
      </c>
      <c r="B149" s="390" t="s">
        <v>1404</v>
      </c>
      <c r="C149" s="391" t="s">
        <v>3</v>
      </c>
      <c r="D149" s="392">
        <f>278.14*N149</f>
        <v>23.985980777487857</v>
      </c>
      <c r="E149" s="392">
        <f>278.14*O149</f>
        <v>254.15401922251212</v>
      </c>
      <c r="F149" s="392">
        <f t="shared" si="263"/>
        <v>0</v>
      </c>
      <c r="H149" s="91" t="s">
        <v>100</v>
      </c>
      <c r="J149" s="95">
        <v>26.11</v>
      </c>
      <c r="K149" s="95">
        <v>276.66000000000003</v>
      </c>
      <c r="L149" s="95">
        <v>0</v>
      </c>
      <c r="M149" s="95">
        <f t="shared" si="264"/>
        <v>302.77000000000004</v>
      </c>
      <c r="N149" s="91">
        <f t="shared" si="265"/>
        <v>8.623707764970108E-2</v>
      </c>
      <c r="O149" s="91">
        <f t="shared" si="266"/>
        <v>0.91376292235029888</v>
      </c>
      <c r="P149" s="91">
        <f t="shared" si="267"/>
        <v>0</v>
      </c>
    </row>
    <row r="150" spans="1:16" ht="13.5" x14ac:dyDescent="0.25">
      <c r="A150" s="390">
        <v>100977</v>
      </c>
      <c r="B150" s="390" t="s">
        <v>1085</v>
      </c>
      <c r="C150" s="391" t="s">
        <v>58</v>
      </c>
      <c r="D150" s="392">
        <f>9.62*N150</f>
        <v>1.9805882352941173</v>
      </c>
      <c r="E150" s="392">
        <f t="shared" ref="E150:F150" si="269">9.62*O150</f>
        <v>3.3952941176470586</v>
      </c>
      <c r="F150" s="392">
        <f t="shared" si="269"/>
        <v>4.2441176470588227</v>
      </c>
      <c r="H150" s="91" t="s">
        <v>100</v>
      </c>
      <c r="J150" s="95">
        <v>1.4</v>
      </c>
      <c r="K150" s="95">
        <v>2.4</v>
      </c>
      <c r="L150" s="95">
        <v>3</v>
      </c>
      <c r="M150" s="95">
        <f t="shared" ref="M150:M151" si="270">SUM(J150:L150)</f>
        <v>6.8</v>
      </c>
      <c r="N150" s="91">
        <f t="shared" ref="N150:N151" si="271">J150/M150</f>
        <v>0.20588235294117646</v>
      </c>
      <c r="O150" s="91">
        <f t="shared" ref="O150:O151" si="272">K150/M150</f>
        <v>0.35294117647058826</v>
      </c>
      <c r="P150" s="91">
        <f t="shared" ref="P150:P151" si="273">L150/M150</f>
        <v>0.44117647058823528</v>
      </c>
    </row>
    <row r="151" spans="1:16" ht="13.5" x14ac:dyDescent="0.25">
      <c r="A151" s="390">
        <v>100982</v>
      </c>
      <c r="B151" s="390" t="s">
        <v>177</v>
      </c>
      <c r="C151" s="391" t="s">
        <v>58</v>
      </c>
      <c r="D151" s="392">
        <f>10.97*N151</f>
        <v>1.9467887323943662</v>
      </c>
      <c r="E151" s="392">
        <f t="shared" ref="E151:F151" si="274">10.97*O151</f>
        <v>4.0789859154929582</v>
      </c>
      <c r="F151" s="392">
        <f t="shared" si="274"/>
        <v>4.9442253521126762</v>
      </c>
      <c r="H151" s="91" t="s">
        <v>100</v>
      </c>
      <c r="J151" s="95">
        <v>1.26</v>
      </c>
      <c r="K151" s="95">
        <v>2.64</v>
      </c>
      <c r="L151" s="95">
        <v>3.2</v>
      </c>
      <c r="M151" s="95">
        <f t="shared" si="270"/>
        <v>7.1000000000000005</v>
      </c>
      <c r="N151" s="91">
        <f t="shared" si="271"/>
        <v>0.17746478873239435</v>
      </c>
      <c r="O151" s="91">
        <f t="shared" si="272"/>
        <v>0.37183098591549296</v>
      </c>
      <c r="P151" s="91">
        <f t="shared" si="273"/>
        <v>0.45070422535211269</v>
      </c>
    </row>
    <row r="152" spans="1:16" ht="13.5" x14ac:dyDescent="0.25">
      <c r="A152" s="390">
        <v>101134</v>
      </c>
      <c r="B152" s="390" t="s">
        <v>1819</v>
      </c>
      <c r="C152" s="391" t="s">
        <v>58</v>
      </c>
      <c r="D152" s="392">
        <f>18.34*N152</f>
        <v>4.2128637059724348</v>
      </c>
      <c r="E152" s="392">
        <f t="shared" ref="E152:F152" si="275">18.34*O152</f>
        <v>6.2069525267993875</v>
      </c>
      <c r="F152" s="392">
        <f t="shared" si="275"/>
        <v>7.9201837672281776</v>
      </c>
      <c r="H152" s="91" t="s">
        <v>100</v>
      </c>
      <c r="J152" s="95">
        <v>3</v>
      </c>
      <c r="K152" s="95">
        <v>4.42</v>
      </c>
      <c r="L152" s="95">
        <v>5.64</v>
      </c>
      <c r="M152" s="95">
        <f t="shared" ref="M152" si="276">SUM(J152:L152)</f>
        <v>13.059999999999999</v>
      </c>
      <c r="N152" s="91">
        <f t="shared" ref="N152" si="277">J152/M152</f>
        <v>0.22970903522205208</v>
      </c>
      <c r="O152" s="91">
        <f t="shared" ref="O152" si="278">K152/M152</f>
        <v>0.33843797856049007</v>
      </c>
      <c r="P152" s="91">
        <f t="shared" ref="P152" si="279">L152/M152</f>
        <v>0.43185298621745788</v>
      </c>
    </row>
    <row r="153" spans="1:16" ht="13.5" x14ac:dyDescent="0.25">
      <c r="A153" s="390">
        <v>101165</v>
      </c>
      <c r="B153" s="390" t="s">
        <v>1103</v>
      </c>
      <c r="C153" s="391" t="s">
        <v>58</v>
      </c>
      <c r="D153" s="392">
        <f>1119.92*N153</f>
        <v>417.93491363092181</v>
      </c>
      <c r="E153" s="392">
        <f t="shared" ref="E153:F153" si="280">1119.92*O153</f>
        <v>701.52539627159229</v>
      </c>
      <c r="F153" s="392">
        <f t="shared" si="280"/>
        <v>0.45969009748589018</v>
      </c>
      <c r="H153" s="91" t="s">
        <v>100</v>
      </c>
      <c r="J153" s="95">
        <v>327.3</v>
      </c>
      <c r="K153" s="95">
        <v>549.39</v>
      </c>
      <c r="L153" s="95">
        <v>0.36</v>
      </c>
      <c r="M153" s="95">
        <f t="shared" ref="M153:M154" si="281">SUM(J153:L153)</f>
        <v>877.05000000000007</v>
      </c>
      <c r="N153" s="91">
        <f t="shared" ref="N153:N154" si="282">J153/M153</f>
        <v>0.37318282880109455</v>
      </c>
      <c r="O153" s="91">
        <f t="shared" ref="O153:O154" si="283">K153/M153</f>
        <v>0.62640670429279965</v>
      </c>
      <c r="P153" s="91">
        <f t="shared" ref="P153:P154" si="284">L153/M153</f>
        <v>4.1046690610569521E-4</v>
      </c>
    </row>
    <row r="154" spans="1:16" ht="13.5" x14ac:dyDescent="0.25">
      <c r="A154" s="390">
        <v>101174</v>
      </c>
      <c r="B154" s="390" t="s">
        <v>1161</v>
      </c>
      <c r="C154" s="391" t="s">
        <v>2</v>
      </c>
      <c r="D154" s="392">
        <f>107.48*N154</f>
        <v>46.240552808988767</v>
      </c>
      <c r="E154" s="392">
        <f t="shared" ref="E154:F154" si="285">107.48*O154</f>
        <v>60.973766292134833</v>
      </c>
      <c r="F154" s="392">
        <f t="shared" si="285"/>
        <v>0.2656808988764045</v>
      </c>
      <c r="H154" s="91" t="s">
        <v>100</v>
      </c>
      <c r="J154" s="95">
        <v>38.29</v>
      </c>
      <c r="K154" s="95">
        <v>50.49</v>
      </c>
      <c r="L154" s="95">
        <v>0.22</v>
      </c>
      <c r="M154" s="95">
        <f t="shared" si="281"/>
        <v>89</v>
      </c>
      <c r="N154" s="91">
        <f t="shared" si="282"/>
        <v>0.43022471910112359</v>
      </c>
      <c r="O154" s="91">
        <f t="shared" si="283"/>
        <v>0.56730337078651683</v>
      </c>
      <c r="P154" s="91">
        <f t="shared" si="284"/>
        <v>2.4719101123595504E-3</v>
      </c>
    </row>
    <row r="155" spans="1:16" ht="13.5" x14ac:dyDescent="0.25">
      <c r="A155" s="390">
        <v>101390</v>
      </c>
      <c r="B155" s="390" t="s">
        <v>118</v>
      </c>
      <c r="C155" s="391" t="s">
        <v>24</v>
      </c>
      <c r="D155" s="392">
        <f>8339.78*N155</f>
        <v>7986.7526054938062</v>
      </c>
      <c r="E155" s="392">
        <f>8339.78*O155</f>
        <v>353.02739450619487</v>
      </c>
      <c r="F155" s="392">
        <f t="shared" ref="F155" si="286">L155*$J$2</f>
        <v>0</v>
      </c>
      <c r="H155" s="91" t="s">
        <v>100</v>
      </c>
      <c r="J155" s="95">
        <v>6551.57</v>
      </c>
      <c r="K155" s="95">
        <v>289.58999999999997</v>
      </c>
      <c r="L155" s="95">
        <v>0</v>
      </c>
      <c r="M155" s="95">
        <f t="shared" ref="M155" si="287">SUM(J155:L155)</f>
        <v>6841.16</v>
      </c>
      <c r="N155" s="91">
        <f t="shared" ref="N155" si="288">J155/M155</f>
        <v>0.95766945956533689</v>
      </c>
      <c r="O155" s="91">
        <f t="shared" ref="O155" si="289">K155/M155</f>
        <v>4.2330540434663125E-2</v>
      </c>
      <c r="P155" s="91">
        <f t="shared" ref="P155" si="290">L155/M155</f>
        <v>0</v>
      </c>
    </row>
    <row r="156" spans="1:16" ht="13.5" x14ac:dyDescent="0.25">
      <c r="A156" s="390">
        <v>101435</v>
      </c>
      <c r="B156" s="390" t="s">
        <v>1823</v>
      </c>
      <c r="C156" s="391" t="s">
        <v>24</v>
      </c>
      <c r="D156" s="392">
        <f ca="1">7713.86*N156</f>
        <v>6479.2299999042725</v>
      </c>
      <c r="E156" s="392">
        <f ca="1">7713.86*O156</f>
        <v>1234.6300000957269</v>
      </c>
      <c r="F156" s="392">
        <f t="shared" ref="F156" si="291">L156*$J$2</f>
        <v>0</v>
      </c>
      <c r="H156" s="91" t="s">
        <v>100</v>
      </c>
      <c r="J156" s="95">
        <f ca="1">7713.86*N156</f>
        <v>6479.2299999042725</v>
      </c>
      <c r="K156" s="95">
        <f ca="1">7713.86*O156</f>
        <v>1234.6300000957269</v>
      </c>
      <c r="L156" s="95">
        <v>0</v>
      </c>
      <c r="M156" s="95">
        <f t="shared" ref="M156" ca="1" si="292">SUM(J156:L156)</f>
        <v>7713.86</v>
      </c>
      <c r="N156" s="91">
        <f t="shared" ref="N156" ca="1" si="293">J156/M156</f>
        <v>0.83994653777800898</v>
      </c>
      <c r="O156" s="91">
        <f t="shared" ref="O156" ca="1" si="294">K156/M156</f>
        <v>0.16005346222199093</v>
      </c>
      <c r="P156" s="91">
        <f t="shared" ref="P156" ca="1" si="295">L156/M156</f>
        <v>0</v>
      </c>
    </row>
    <row r="157" spans="1:16" ht="13.5" x14ac:dyDescent="0.25">
      <c r="A157" s="390">
        <v>101616</v>
      </c>
      <c r="B157" s="390" t="s">
        <v>1082</v>
      </c>
      <c r="C157" s="391" t="s">
        <v>57</v>
      </c>
      <c r="D157" s="392">
        <f>11.07*N157</f>
        <v>8.0090974212034389</v>
      </c>
      <c r="E157" s="392">
        <f>11.07*O157</f>
        <v>3.0609025787965618</v>
      </c>
      <c r="F157" s="392">
        <f t="shared" ref="F157" si="296">L157*$J$2</f>
        <v>0</v>
      </c>
      <c r="H157" s="91" t="s">
        <v>100</v>
      </c>
      <c r="J157" s="95">
        <v>5.05</v>
      </c>
      <c r="K157" s="95">
        <v>1.93</v>
      </c>
      <c r="L157" s="95">
        <v>0</v>
      </c>
      <c r="M157" s="95">
        <f t="shared" ref="M157" si="297">SUM(J157:L157)</f>
        <v>6.9799999999999995</v>
      </c>
      <c r="N157" s="91">
        <f t="shared" ref="N157" si="298">J157/M157</f>
        <v>0.72349570200573066</v>
      </c>
      <c r="O157" s="91">
        <f t="shared" ref="O157" si="299">K157/M157</f>
        <v>0.27650429799426934</v>
      </c>
      <c r="P157" s="91">
        <f t="shared" ref="P157" si="300">L157/M157</f>
        <v>0</v>
      </c>
    </row>
    <row r="158" spans="1:16" ht="13.5" x14ac:dyDescent="0.25">
      <c r="A158" s="390">
        <v>101905</v>
      </c>
      <c r="B158" s="390" t="s">
        <v>1934</v>
      </c>
      <c r="C158" s="391" t="s">
        <v>3</v>
      </c>
      <c r="D158" s="392">
        <f>284.48*N158</f>
        <v>20.951292916921822</v>
      </c>
      <c r="E158" s="392">
        <f>284.48*O158</f>
        <v>263.52870708307819</v>
      </c>
      <c r="F158" s="392">
        <f t="shared" ref="F158" si="301">L158*$J$2</f>
        <v>0</v>
      </c>
      <c r="H158" s="91" t="s">
        <v>100</v>
      </c>
      <c r="J158" s="95">
        <v>18.04</v>
      </c>
      <c r="K158" s="95">
        <v>226.91</v>
      </c>
      <c r="L158" s="95">
        <v>0</v>
      </c>
      <c r="M158" s="95">
        <f t="shared" ref="M158:M160" si="302">SUM(J158:L158)</f>
        <v>244.95</v>
      </c>
      <c r="N158" s="91">
        <f t="shared" ref="N158:N161" si="303">J158/M158</f>
        <v>7.3647683200653194E-2</v>
      </c>
      <c r="O158" s="91">
        <f t="shared" ref="O158:O161" si="304">K158/M158</f>
        <v>0.92635231679934682</v>
      </c>
      <c r="P158" s="91">
        <f t="shared" ref="P158:P161" si="305">L158/M158</f>
        <v>0</v>
      </c>
    </row>
    <row r="159" spans="1:16" ht="13.5" x14ac:dyDescent="0.25">
      <c r="A159" s="390">
        <v>101908</v>
      </c>
      <c r="B159" s="390" t="s">
        <v>1935</v>
      </c>
      <c r="C159" s="391" t="s">
        <v>3</v>
      </c>
      <c r="D159" s="392">
        <f>276.17*N159</f>
        <v>20.956996592773315</v>
      </c>
      <c r="E159" s="392">
        <f t="shared" ref="E159:F159" si="306">276.17*O159</f>
        <v>255.21300340722669</v>
      </c>
      <c r="F159" s="392">
        <f t="shared" si="306"/>
        <v>0</v>
      </c>
      <c r="H159" s="91" t="s">
        <v>100</v>
      </c>
      <c r="J159" s="95">
        <v>18.04</v>
      </c>
      <c r="K159" s="95">
        <v>219.69</v>
      </c>
      <c r="L159" s="95">
        <v>0</v>
      </c>
      <c r="M159" s="95">
        <f t="shared" si="302"/>
        <v>237.73</v>
      </c>
      <c r="N159" s="91">
        <f t="shared" si="303"/>
        <v>7.5884406679846889E-2</v>
      </c>
      <c r="O159" s="91">
        <f t="shared" si="304"/>
        <v>0.92411559332015314</v>
      </c>
      <c r="P159" s="91">
        <f t="shared" si="305"/>
        <v>0</v>
      </c>
    </row>
    <row r="160" spans="1:16" ht="13.5" x14ac:dyDescent="0.25">
      <c r="A160" s="390">
        <v>106677</v>
      </c>
      <c r="B160" s="390" t="s">
        <v>1936</v>
      </c>
      <c r="C160" s="391" t="s">
        <v>3</v>
      </c>
      <c r="D160" s="392">
        <f>953.04*N160</f>
        <v>51.888769037306126</v>
      </c>
      <c r="E160" s="392">
        <f t="shared" ref="E160:F160" si="307">953.04*O160</f>
        <v>901.15123096269383</v>
      </c>
      <c r="F160" s="392">
        <f t="shared" si="307"/>
        <v>0</v>
      </c>
      <c r="H160" s="91" t="s">
        <v>100</v>
      </c>
      <c r="J160" s="95">
        <v>175.35</v>
      </c>
      <c r="K160" s="95">
        <v>3045.3</v>
      </c>
      <c r="L160" s="95">
        <v>0</v>
      </c>
      <c r="M160" s="95">
        <f t="shared" si="302"/>
        <v>3220.65</v>
      </c>
      <c r="N160" s="91">
        <f t="shared" si="303"/>
        <v>5.4445531181593773E-2</v>
      </c>
      <c r="O160" s="91">
        <f t="shared" si="304"/>
        <v>0.94555446881840621</v>
      </c>
      <c r="P160" s="91">
        <f t="shared" si="305"/>
        <v>0</v>
      </c>
    </row>
    <row r="161" spans="1:17" ht="13.5" x14ac:dyDescent="0.25">
      <c r="A161" s="390">
        <v>101964</v>
      </c>
      <c r="B161" s="390" t="s">
        <v>1095</v>
      </c>
      <c r="C161" s="391" t="s">
        <v>57</v>
      </c>
      <c r="D161" s="392">
        <f>200.4*N161</f>
        <v>31.65699701330437</v>
      </c>
      <c r="E161" s="392">
        <f>200.4*O161</f>
        <v>168.74300298669561</v>
      </c>
      <c r="F161" s="392">
        <f t="shared" ref="F161" si="308">L161*$J$2</f>
        <v>0</v>
      </c>
      <c r="H161" s="91" t="s">
        <v>100</v>
      </c>
      <c r="J161" s="95">
        <v>29.09</v>
      </c>
      <c r="K161" s="95">
        <v>155.06</v>
      </c>
      <c r="L161" s="95">
        <v>0</v>
      </c>
      <c r="M161" s="95">
        <f t="shared" ref="M161" si="309">SUM(J161:L161)</f>
        <v>184.15</v>
      </c>
      <c r="N161" s="91">
        <f t="shared" si="303"/>
        <v>0.15796904697257669</v>
      </c>
      <c r="O161" s="91">
        <f t="shared" si="304"/>
        <v>0.84203095302742326</v>
      </c>
      <c r="P161" s="91">
        <f t="shared" si="305"/>
        <v>0</v>
      </c>
    </row>
    <row r="162" spans="1:17" ht="13.5" x14ac:dyDescent="0.25">
      <c r="A162" s="390">
        <v>102278</v>
      </c>
      <c r="B162" s="390" t="s">
        <v>2344</v>
      </c>
      <c r="C162" s="391" t="s">
        <v>58</v>
      </c>
      <c r="D162" s="392">
        <f t="shared" ref="D162:D163" ca="1" si="310">J162*$J$2</f>
        <v>3.4192673526396895</v>
      </c>
      <c r="E162" s="392">
        <f t="shared" ref="E162:E163" ca="1" si="311">K162*$J$2</f>
        <v>2.7302758796267104</v>
      </c>
      <c r="F162" s="392">
        <f t="shared" ref="F162:F163" ca="1" si="312">L162*$J$2</f>
        <v>4.5204567677336005</v>
      </c>
      <c r="H162" s="91" t="s">
        <v>100</v>
      </c>
      <c r="J162" s="95">
        <f ca="1">10.67*N162</f>
        <v>3.4192673526396895</v>
      </c>
      <c r="K162" s="95">
        <f t="shared" ref="K162:L162" ca="1" si="313">10.67*O162</f>
        <v>2.7302758796267104</v>
      </c>
      <c r="L162" s="95">
        <f t="shared" ca="1" si="313"/>
        <v>4.5204567677336005</v>
      </c>
      <c r="M162" s="95">
        <f t="shared" ref="M162:M163" ca="1" si="314">SUM(J162:L162)</f>
        <v>10.67</v>
      </c>
      <c r="N162" s="91">
        <f t="shared" ref="N162:N163" ca="1" si="315">J162/M162</f>
        <v>0.32045617175629704</v>
      </c>
      <c r="O162" s="91">
        <f t="shared" ref="O162:O163" ca="1" si="316">K162/M162</f>
        <v>0.25588340015245647</v>
      </c>
      <c r="P162" s="91">
        <f t="shared" ref="P162:P163" ca="1" si="317">L162/M162</f>
        <v>0.42366042809124654</v>
      </c>
    </row>
    <row r="163" spans="1:17" ht="13.5" x14ac:dyDescent="0.25">
      <c r="A163" s="390">
        <v>102308</v>
      </c>
      <c r="B163" s="390" t="s">
        <v>2343</v>
      </c>
      <c r="C163" s="391" t="s">
        <v>58</v>
      </c>
      <c r="D163" s="392">
        <f t="shared" si="310"/>
        <v>3.63</v>
      </c>
      <c r="E163" s="392">
        <f t="shared" si="311"/>
        <v>3.4</v>
      </c>
      <c r="F163" s="392">
        <f t="shared" si="312"/>
        <v>6.35</v>
      </c>
      <c r="H163" s="91" t="s">
        <v>100</v>
      </c>
      <c r="J163" s="95">
        <v>3.63</v>
      </c>
      <c r="K163" s="95">
        <v>3.4</v>
      </c>
      <c r="L163" s="95">
        <v>6.35</v>
      </c>
      <c r="M163" s="95">
        <f t="shared" si="314"/>
        <v>13.379999999999999</v>
      </c>
      <c r="N163" s="91">
        <f t="shared" si="315"/>
        <v>0.27130044843049328</v>
      </c>
      <c r="O163" s="91">
        <f t="shared" si="316"/>
        <v>0.25411061285500747</v>
      </c>
      <c r="P163" s="91">
        <f t="shared" si="317"/>
        <v>0.47458893871449925</v>
      </c>
    </row>
    <row r="164" spans="1:17" ht="13.5" x14ac:dyDescent="0.25">
      <c r="A164" s="390">
        <v>103003</v>
      </c>
      <c r="B164" s="390" t="s">
        <v>1920</v>
      </c>
      <c r="C164" s="391" t="s">
        <v>3</v>
      </c>
      <c r="D164" s="392">
        <f>353.15*N164</f>
        <v>20.189209259873881</v>
      </c>
      <c r="E164" s="392">
        <f t="shared" ref="E164:F164" si="318">353.15*O164</f>
        <v>332.96079074012607</v>
      </c>
      <c r="F164" s="392">
        <f t="shared" si="318"/>
        <v>0</v>
      </c>
      <c r="H164" s="91" t="s">
        <v>100</v>
      </c>
      <c r="J164" s="95">
        <v>20.67</v>
      </c>
      <c r="K164" s="95">
        <v>340.89</v>
      </c>
      <c r="L164" s="95">
        <v>0</v>
      </c>
      <c r="M164" s="95">
        <f t="shared" ref="M164" si="319">SUM(J164:L164)</f>
        <v>361.56</v>
      </c>
      <c r="N164" s="91">
        <f t="shared" ref="N164" si="320">J164/M164</f>
        <v>5.7168934616661136E-2</v>
      </c>
      <c r="O164" s="91">
        <f t="shared" ref="O164" si="321">K164/M164</f>
        <v>0.94283106538333883</v>
      </c>
      <c r="P164" s="91">
        <f t="shared" ref="P164" si="322">L164/M164</f>
        <v>0</v>
      </c>
    </row>
    <row r="165" spans="1:17" ht="13.5" x14ac:dyDescent="0.25">
      <c r="A165" s="390">
        <v>103316</v>
      </c>
      <c r="B165" s="390" t="s">
        <v>1104</v>
      </c>
      <c r="C165" s="391" t="s">
        <v>57</v>
      </c>
      <c r="D165" s="392">
        <f>85.36*N165</f>
        <v>29.194829210836275</v>
      </c>
      <c r="E165" s="392">
        <f t="shared" ref="E165:F165" si="323">85.36*O165</f>
        <v>56.152603062426387</v>
      </c>
      <c r="F165" s="392">
        <f t="shared" si="323"/>
        <v>1.2567726737338044E-2</v>
      </c>
      <c r="H165" s="91" t="s">
        <v>100</v>
      </c>
      <c r="J165" s="95">
        <v>23.23</v>
      </c>
      <c r="K165" s="95">
        <v>44.68</v>
      </c>
      <c r="L165" s="95">
        <v>0.01</v>
      </c>
      <c r="M165" s="95">
        <f t="shared" ref="M165:M167" si="324">SUM(J165:L165)</f>
        <v>67.92</v>
      </c>
      <c r="N165" s="91">
        <f t="shared" ref="N165:N167" si="325">J165/M165</f>
        <v>0.34202002355712602</v>
      </c>
      <c r="O165" s="91">
        <f t="shared" ref="O165:O167" si="326">K165/M165</f>
        <v>0.65783274440518258</v>
      </c>
      <c r="P165" s="91">
        <f t="shared" ref="P165:P167" si="327">L165/M165</f>
        <v>1.4723203769140164E-4</v>
      </c>
    </row>
    <row r="166" spans="1:17" ht="13.5" x14ac:dyDescent="0.25">
      <c r="A166" s="390">
        <v>103318</v>
      </c>
      <c r="B166" s="390" t="s">
        <v>1105</v>
      </c>
      <c r="C166" s="391" t="s">
        <v>57</v>
      </c>
      <c r="D166" s="392">
        <f>111.74*N166</f>
        <v>39.82899043331458</v>
      </c>
      <c r="E166" s="392">
        <f t="shared" ref="E166:F166" si="328">111.74*O166</f>
        <v>71.885857062464822</v>
      </c>
      <c r="F166" s="392">
        <f t="shared" si="328"/>
        <v>2.5152504220596512E-2</v>
      </c>
      <c r="H166" s="91" t="s">
        <v>100</v>
      </c>
      <c r="J166" s="95">
        <v>31.67</v>
      </c>
      <c r="K166" s="95">
        <v>57.16</v>
      </c>
      <c r="L166" s="95">
        <v>0.02</v>
      </c>
      <c r="M166" s="95">
        <f t="shared" si="324"/>
        <v>88.85</v>
      </c>
      <c r="N166" s="91">
        <f t="shared" si="325"/>
        <v>0.35644344400675299</v>
      </c>
      <c r="O166" s="91">
        <f t="shared" si="326"/>
        <v>0.64333145751266174</v>
      </c>
      <c r="P166" s="91">
        <f t="shared" si="327"/>
        <v>2.2509848058525607E-4</v>
      </c>
    </row>
    <row r="167" spans="1:17" ht="13.5" x14ac:dyDescent="0.25">
      <c r="A167" s="390">
        <v>103320</v>
      </c>
      <c r="B167" s="390" t="s">
        <v>1145</v>
      </c>
      <c r="C167" s="391" t="s">
        <v>57</v>
      </c>
      <c r="D167" s="392">
        <f>132.72*N167</f>
        <v>44.751084812623276</v>
      </c>
      <c r="E167" s="392">
        <f t="shared" ref="E167:F167" si="329">132.72*O167</f>
        <v>87.943984220907311</v>
      </c>
      <c r="F167" s="392">
        <f t="shared" si="329"/>
        <v>2.4930966469428013E-2</v>
      </c>
      <c r="H167" s="91" t="s">
        <v>100</v>
      </c>
      <c r="J167" s="95">
        <v>35.9</v>
      </c>
      <c r="K167" s="95">
        <v>70.55</v>
      </c>
      <c r="L167" s="95">
        <v>0.02</v>
      </c>
      <c r="M167" s="95">
        <f t="shared" si="324"/>
        <v>106.46999999999998</v>
      </c>
      <c r="N167" s="91">
        <f t="shared" si="325"/>
        <v>0.33718418333802952</v>
      </c>
      <c r="O167" s="91">
        <f t="shared" si="326"/>
        <v>0.66262797032027809</v>
      </c>
      <c r="P167" s="91">
        <f t="shared" si="327"/>
        <v>1.8784634169249556E-4</v>
      </c>
    </row>
    <row r="168" spans="1:17" ht="13.5" x14ac:dyDescent="0.25">
      <c r="A168" s="390">
        <v>103670</v>
      </c>
      <c r="B168" s="390" t="s">
        <v>1414</v>
      </c>
      <c r="C168" s="391" t="s">
        <v>58</v>
      </c>
      <c r="D168" s="392">
        <f>440.04*N168</f>
        <v>312.48824912302297</v>
      </c>
      <c r="E168" s="392">
        <f t="shared" ref="E168:F168" si="330">440.04*O168</f>
        <v>125.00613206966581</v>
      </c>
      <c r="F168" s="392">
        <f t="shared" si="330"/>
        <v>2.5456188073112189</v>
      </c>
      <c r="H168" s="91" t="s">
        <v>100</v>
      </c>
      <c r="J168" s="95">
        <v>230.78</v>
      </c>
      <c r="K168" s="95">
        <v>92.32</v>
      </c>
      <c r="L168" s="95">
        <v>1.88</v>
      </c>
      <c r="M168" s="95">
        <f t="shared" ref="M168:M169" si="331">SUM(J168:L168)</f>
        <v>324.98</v>
      </c>
      <c r="N168" s="91">
        <f t="shared" ref="N168:N169" si="332">J168/M168</f>
        <v>0.71013600836974577</v>
      </c>
      <c r="O168" s="91">
        <f t="shared" ref="O168:O169" si="333">K168/M168</f>
        <v>0.28407902024739978</v>
      </c>
      <c r="P168" s="91">
        <f t="shared" ref="P168:P169" si="334">L168/M168</f>
        <v>5.7849713828543288E-3</v>
      </c>
    </row>
    <row r="169" spans="1:17" ht="13.5" x14ac:dyDescent="0.25">
      <c r="A169" s="390">
        <v>103673</v>
      </c>
      <c r="B169" s="390" t="s">
        <v>1146</v>
      </c>
      <c r="C169" s="391" t="s">
        <v>58</v>
      </c>
      <c r="D169" s="392">
        <f>61.72*N169</f>
        <v>43.363854258121158</v>
      </c>
      <c r="E169" s="392">
        <f t="shared" ref="E169:F169" si="335">61.72*O169</f>
        <v>18.166488147497805</v>
      </c>
      <c r="F169" s="392">
        <f t="shared" si="335"/>
        <v>0.18965759438103599</v>
      </c>
      <c r="H169" s="91" t="s">
        <v>100</v>
      </c>
      <c r="J169" s="95">
        <v>32.01</v>
      </c>
      <c r="K169" s="95">
        <v>13.41</v>
      </c>
      <c r="L169" s="95">
        <v>0.14000000000000001</v>
      </c>
      <c r="M169" s="95">
        <f t="shared" si="331"/>
        <v>45.56</v>
      </c>
      <c r="N169" s="91">
        <f t="shared" si="332"/>
        <v>0.70258999122036869</v>
      </c>
      <c r="O169" s="91">
        <f t="shared" si="333"/>
        <v>0.29433713784021071</v>
      </c>
      <c r="P169" s="91">
        <f t="shared" si="334"/>
        <v>3.0728709394205445E-3</v>
      </c>
    </row>
    <row r="170" spans="1:17" x14ac:dyDescent="0.2">
      <c r="N170" s="91" t="s">
        <v>2</v>
      </c>
      <c r="O170" s="91" t="s">
        <v>2</v>
      </c>
      <c r="P170" s="91" t="s">
        <v>2</v>
      </c>
      <c r="Q170" s="91" t="s">
        <v>2</v>
      </c>
    </row>
    <row r="171" spans="1:17" x14ac:dyDescent="0.2">
      <c r="A171" s="423" t="s">
        <v>98</v>
      </c>
      <c r="B171" s="423"/>
      <c r="C171" s="423"/>
      <c r="D171" s="423"/>
      <c r="E171" s="423"/>
      <c r="F171" s="423"/>
    </row>
    <row r="172" spans="1:17" ht="13.5" x14ac:dyDescent="0.25">
      <c r="A172" s="94" t="s">
        <v>91</v>
      </c>
      <c r="B172" s="94" t="s">
        <v>83</v>
      </c>
      <c r="C172" s="94" t="s">
        <v>30</v>
      </c>
      <c r="D172" s="94" t="s">
        <v>79</v>
      </c>
      <c r="E172" s="94" t="s">
        <v>92</v>
      </c>
      <c r="F172" s="98" t="s">
        <v>93</v>
      </c>
      <c r="H172" s="94" t="s">
        <v>86</v>
      </c>
      <c r="I172" s="94"/>
      <c r="J172" s="97" t="s">
        <v>88</v>
      </c>
      <c r="K172" s="97" t="s">
        <v>89</v>
      </c>
      <c r="L172" s="97" t="s">
        <v>90</v>
      </c>
      <c r="M172" s="95">
        <f t="shared" ref="M172:M267" si="336">SUM(J172:L172)</f>
        <v>0</v>
      </c>
    </row>
    <row r="173" spans="1:17" x14ac:dyDescent="0.2">
      <c r="A173" s="394">
        <v>12031</v>
      </c>
      <c r="B173" s="91" t="s">
        <v>169</v>
      </c>
      <c r="C173" s="93" t="s">
        <v>3</v>
      </c>
      <c r="D173" s="201">
        <f t="shared" ref="D173:D177" si="337">J173*$J$3</f>
        <v>2369.2799999999997</v>
      </c>
      <c r="E173" s="201">
        <f t="shared" ref="E173:E177" si="338">K173*$J$3</f>
        <v>5744.43</v>
      </c>
      <c r="F173" s="201">
        <f t="shared" ref="F173:F177" si="339">L173*$J$3</f>
        <v>0</v>
      </c>
      <c r="H173" s="91" t="s">
        <v>99</v>
      </c>
      <c r="J173" s="383">
        <f>203.04+79.41+209.86+192.34+159.84+270.52+1254.27</f>
        <v>2369.2799999999997</v>
      </c>
      <c r="K173" s="383">
        <f>8113.71-J173</f>
        <v>5744.43</v>
      </c>
      <c r="L173" s="383"/>
      <c r="M173" s="95">
        <f>SUM(J173:L173)</f>
        <v>8113.71</v>
      </c>
    </row>
    <row r="174" spans="1:17" x14ac:dyDescent="0.2">
      <c r="A174" s="394">
        <v>12661</v>
      </c>
      <c r="B174" s="91" t="s">
        <v>170</v>
      </c>
      <c r="C174" s="93" t="s">
        <v>3</v>
      </c>
      <c r="D174" s="201">
        <f t="shared" si="337"/>
        <v>1081.3800000000001</v>
      </c>
      <c r="E174" s="201">
        <f t="shared" si="338"/>
        <v>390.37999999999988</v>
      </c>
      <c r="F174" s="201">
        <f t="shared" si="339"/>
        <v>0</v>
      </c>
      <c r="H174" s="91" t="s">
        <v>99</v>
      </c>
      <c r="J174" s="383">
        <f>121.95+110.15+69.77+207.04+572.47</f>
        <v>1081.3800000000001</v>
      </c>
      <c r="K174" s="383">
        <f>1471.76-J174</f>
        <v>390.37999999999988</v>
      </c>
      <c r="L174" s="384"/>
      <c r="M174" s="95">
        <f>SUM(J174:L174)</f>
        <v>1471.76</v>
      </c>
    </row>
    <row r="175" spans="1:17" x14ac:dyDescent="0.2">
      <c r="A175" s="394">
        <v>12689</v>
      </c>
      <c r="B175" s="91" t="s">
        <v>172</v>
      </c>
      <c r="C175" s="93" t="s">
        <v>3</v>
      </c>
      <c r="D175" s="201">
        <v>6444.18</v>
      </c>
      <c r="E175" s="201">
        <f t="shared" si="338"/>
        <v>0</v>
      </c>
      <c r="F175" s="201">
        <f t="shared" si="339"/>
        <v>0</v>
      </c>
      <c r="H175" s="91" t="s">
        <v>99</v>
      </c>
      <c r="J175" s="383">
        <v>6216.49</v>
      </c>
      <c r="K175" s="383"/>
      <c r="L175" s="384"/>
      <c r="M175" s="95">
        <f>SUM(J175:L175)</f>
        <v>6216.49</v>
      </c>
    </row>
    <row r="176" spans="1:17" x14ac:dyDescent="0.2">
      <c r="A176" s="394">
        <v>12710</v>
      </c>
      <c r="B176" s="91" t="s">
        <v>171</v>
      </c>
      <c r="C176" s="93" t="s">
        <v>24</v>
      </c>
      <c r="D176" s="201">
        <f t="shared" si="337"/>
        <v>0</v>
      </c>
      <c r="E176" s="201">
        <f t="shared" si="338"/>
        <v>1925.91</v>
      </c>
      <c r="F176" s="201">
        <f t="shared" si="339"/>
        <v>0</v>
      </c>
      <c r="H176" s="91" t="s">
        <v>99</v>
      </c>
      <c r="J176" s="383"/>
      <c r="K176" s="383">
        <v>1925.91</v>
      </c>
      <c r="L176" s="384"/>
      <c r="M176" s="95">
        <f>SUM(J176:L176)</f>
        <v>1925.91</v>
      </c>
    </row>
    <row r="177" spans="1:13" x14ac:dyDescent="0.2">
      <c r="A177" s="394">
        <v>210500</v>
      </c>
      <c r="B177" s="91" t="s">
        <v>174</v>
      </c>
      <c r="C177" s="93" t="s">
        <v>3</v>
      </c>
      <c r="D177" s="201">
        <f t="shared" si="337"/>
        <v>0</v>
      </c>
      <c r="E177" s="201">
        <f t="shared" si="338"/>
        <v>0</v>
      </c>
      <c r="F177" s="201">
        <f t="shared" si="339"/>
        <v>370</v>
      </c>
      <c r="H177" s="91" t="s">
        <v>99</v>
      </c>
      <c r="J177" s="384"/>
      <c r="K177" s="384"/>
      <c r="L177" s="384">
        <v>370</v>
      </c>
      <c r="M177" s="95">
        <f>SUM(J177:L177)</f>
        <v>370</v>
      </c>
    </row>
    <row r="178" spans="1:13" x14ac:dyDescent="0.2">
      <c r="A178" s="394">
        <v>40169</v>
      </c>
      <c r="B178" s="91" t="s">
        <v>186</v>
      </c>
      <c r="C178" s="93" t="s">
        <v>1</v>
      </c>
      <c r="D178" s="201">
        <f t="shared" ref="D178:D198" si="340">J178*$J$3</f>
        <v>3.89</v>
      </c>
      <c r="E178" s="201">
        <f t="shared" ref="E178:E198" si="341">K178*$J$3</f>
        <v>10.42</v>
      </c>
      <c r="F178" s="201">
        <f t="shared" ref="F178:F198" si="342">L178*$J$3</f>
        <v>0</v>
      </c>
      <c r="H178" s="91" t="s">
        <v>99</v>
      </c>
      <c r="J178" s="384">
        <f>1.07+0.76+2.06</f>
        <v>3.89</v>
      </c>
      <c r="K178" s="384">
        <f>14.31-J178</f>
        <v>10.42</v>
      </c>
      <c r="L178" s="384"/>
      <c r="M178" s="95">
        <f t="shared" ref="M178:M215" si="343">SUM(J178:L178)</f>
        <v>14.31</v>
      </c>
    </row>
    <row r="179" spans="1:13" x14ac:dyDescent="0.2">
      <c r="A179" s="394">
        <v>40208</v>
      </c>
      <c r="B179" s="91" t="s">
        <v>187</v>
      </c>
      <c r="C179" s="93" t="s">
        <v>1</v>
      </c>
      <c r="D179" s="201">
        <f t="shared" si="340"/>
        <v>3.7800000000000002</v>
      </c>
      <c r="E179" s="201">
        <f t="shared" si="341"/>
        <v>8.7199999999999989</v>
      </c>
      <c r="F179" s="201">
        <f t="shared" si="342"/>
        <v>0</v>
      </c>
      <c r="H179" s="91" t="s">
        <v>99</v>
      </c>
      <c r="J179" s="384">
        <f>1.04+0.74+2</f>
        <v>3.7800000000000002</v>
      </c>
      <c r="K179" s="384">
        <f>12.5-J179</f>
        <v>8.7199999999999989</v>
      </c>
      <c r="L179" s="384"/>
      <c r="M179" s="95">
        <f t="shared" si="343"/>
        <v>12.5</v>
      </c>
    </row>
    <row r="180" spans="1:13" x14ac:dyDescent="0.2">
      <c r="A180" s="394">
        <v>40209</v>
      </c>
      <c r="B180" s="91" t="s">
        <v>188</v>
      </c>
      <c r="C180" s="93" t="s">
        <v>1</v>
      </c>
      <c r="D180" s="201">
        <f t="shared" si="340"/>
        <v>3.7800000000000002</v>
      </c>
      <c r="E180" s="201">
        <f t="shared" si="341"/>
        <v>8.7199999999999989</v>
      </c>
      <c r="F180" s="201">
        <f t="shared" si="342"/>
        <v>0</v>
      </c>
      <c r="H180" s="91" t="s">
        <v>99</v>
      </c>
      <c r="J180" s="384">
        <f>1.04+2.74</f>
        <v>3.7800000000000002</v>
      </c>
      <c r="K180" s="384">
        <f>12.5-J180</f>
        <v>8.7199999999999989</v>
      </c>
      <c r="L180" s="384"/>
      <c r="M180" s="95">
        <f t="shared" si="343"/>
        <v>12.5</v>
      </c>
    </row>
    <row r="181" spans="1:13" x14ac:dyDescent="0.2">
      <c r="A181" s="394">
        <v>40172</v>
      </c>
      <c r="B181" s="91" t="s">
        <v>189</v>
      </c>
      <c r="C181" s="93" t="s">
        <v>1</v>
      </c>
      <c r="D181" s="201">
        <f t="shared" si="340"/>
        <v>3.51</v>
      </c>
      <c r="E181" s="201">
        <f t="shared" si="341"/>
        <v>8.69</v>
      </c>
      <c r="F181" s="201">
        <f t="shared" si="342"/>
        <v>0</v>
      </c>
      <c r="H181" s="91" t="s">
        <v>99</v>
      </c>
      <c r="J181" s="384">
        <f>0.96+0.69+1.86</f>
        <v>3.51</v>
      </c>
      <c r="K181" s="384">
        <f>12.2-J181</f>
        <v>8.69</v>
      </c>
      <c r="L181" s="384"/>
      <c r="M181" s="95">
        <f t="shared" si="343"/>
        <v>12.2</v>
      </c>
    </row>
    <row r="182" spans="1:13" x14ac:dyDescent="0.2">
      <c r="A182" s="394">
        <v>40174</v>
      </c>
      <c r="B182" s="91" t="s">
        <v>190</v>
      </c>
      <c r="C182" s="93" t="s">
        <v>1</v>
      </c>
      <c r="D182" s="201">
        <f t="shared" ref="D182" si="344">J182*$J$3</f>
        <v>3.51</v>
      </c>
      <c r="E182" s="201">
        <f t="shared" ref="E182" si="345">K182*$J$3</f>
        <v>8.73</v>
      </c>
      <c r="F182" s="201">
        <f t="shared" ref="F182" si="346">L182*$J$3</f>
        <v>0</v>
      </c>
      <c r="H182" s="91" t="s">
        <v>99</v>
      </c>
      <c r="J182" s="384">
        <f>0.96+0.69+1.86</f>
        <v>3.51</v>
      </c>
      <c r="K182" s="384">
        <f>12.24-J182</f>
        <v>8.73</v>
      </c>
      <c r="L182" s="384"/>
      <c r="M182" s="95">
        <f t="shared" ref="M182" si="347">SUM(J182:L182)</f>
        <v>12.24</v>
      </c>
    </row>
    <row r="183" spans="1:13" x14ac:dyDescent="0.2">
      <c r="A183" s="394">
        <v>40167</v>
      </c>
      <c r="B183" s="91" t="s">
        <v>191</v>
      </c>
      <c r="C183" s="93" t="s">
        <v>1</v>
      </c>
      <c r="D183" s="201">
        <f t="shared" si="340"/>
        <v>4.29</v>
      </c>
      <c r="E183" s="201">
        <f t="shared" si="341"/>
        <v>10.3</v>
      </c>
      <c r="F183" s="201">
        <f t="shared" si="342"/>
        <v>0</v>
      </c>
      <c r="H183" s="91" t="s">
        <v>99</v>
      </c>
      <c r="J183" s="384">
        <f>1.33+0.69+2.27</f>
        <v>4.29</v>
      </c>
      <c r="K183" s="384">
        <f>14.59-J183</f>
        <v>10.3</v>
      </c>
      <c r="L183" s="384"/>
      <c r="M183" s="95">
        <f t="shared" si="343"/>
        <v>14.59</v>
      </c>
    </row>
    <row r="184" spans="1:13" x14ac:dyDescent="0.2">
      <c r="A184" s="394">
        <v>40206</v>
      </c>
      <c r="B184" s="91" t="s">
        <v>192</v>
      </c>
      <c r="C184" s="93" t="s">
        <v>1</v>
      </c>
      <c r="D184" s="201">
        <f t="shared" ref="D184" si="348">J184*$J$3</f>
        <v>3.89</v>
      </c>
      <c r="E184" s="201">
        <f t="shared" ref="E184" si="349">K184*$J$3</f>
        <v>9.32</v>
      </c>
      <c r="F184" s="201">
        <f t="shared" ref="F184" si="350">L184*$J$3</f>
        <v>0</v>
      </c>
      <c r="H184" s="91" t="s">
        <v>99</v>
      </c>
      <c r="J184" s="384">
        <f>1.07+0.76+2.06</f>
        <v>3.89</v>
      </c>
      <c r="K184" s="384">
        <f>13.21-J184</f>
        <v>9.32</v>
      </c>
      <c r="L184" s="384"/>
      <c r="M184" s="95">
        <f t="shared" ref="M184" si="351">SUM(J184:L184)</f>
        <v>13.21</v>
      </c>
    </row>
    <row r="185" spans="1:13" x14ac:dyDescent="0.2">
      <c r="A185" s="394">
        <v>40163</v>
      </c>
      <c r="B185" s="91" t="s">
        <v>193</v>
      </c>
      <c r="C185" s="93" t="s">
        <v>1</v>
      </c>
      <c r="D185" s="201">
        <f t="shared" ref="D185" si="352">J185*$J$3</f>
        <v>5.5500000000000007</v>
      </c>
      <c r="E185" s="201">
        <f t="shared" ref="E185" si="353">K185*$J$3</f>
        <v>8.4599999999999991</v>
      </c>
      <c r="F185" s="201">
        <f t="shared" ref="F185" si="354">L185*$J$3</f>
        <v>0</v>
      </c>
      <c r="H185" s="91" t="s">
        <v>99</v>
      </c>
      <c r="J185" s="384">
        <f>1.55+1.06+2.94</f>
        <v>5.5500000000000007</v>
      </c>
      <c r="K185" s="384">
        <f>14.01-J185</f>
        <v>8.4599999999999991</v>
      </c>
      <c r="L185" s="384"/>
      <c r="M185" s="95">
        <f t="shared" ref="M185" si="355">SUM(J185:L185)</f>
        <v>14.01</v>
      </c>
    </row>
    <row r="186" spans="1:13" x14ac:dyDescent="0.2">
      <c r="A186" s="394">
        <v>40630</v>
      </c>
      <c r="B186" s="91" t="s">
        <v>2331</v>
      </c>
      <c r="C186" s="93" t="s">
        <v>58</v>
      </c>
      <c r="D186" s="201">
        <f t="shared" ref="D186" si="356">J186*$J$3</f>
        <v>277.00999999999993</v>
      </c>
      <c r="E186" s="201">
        <f t="shared" ref="E186" si="357">K186*$J$3</f>
        <v>608.34</v>
      </c>
      <c r="F186" s="201">
        <f t="shared" ref="F186" si="358">L186*$J$3</f>
        <v>2.42</v>
      </c>
      <c r="H186" s="91" t="s">
        <v>99</v>
      </c>
      <c r="J186" s="384">
        <f>887.77-K186-L186</f>
        <v>277.00999999999993</v>
      </c>
      <c r="K186" s="384">
        <v>608.34</v>
      </c>
      <c r="L186" s="384">
        <v>2.42</v>
      </c>
      <c r="M186" s="95">
        <f t="shared" si="343"/>
        <v>887.76999999999987</v>
      </c>
    </row>
    <row r="187" spans="1:13" x14ac:dyDescent="0.2">
      <c r="A187" s="394">
        <v>40626</v>
      </c>
      <c r="B187" s="91" t="s">
        <v>1148</v>
      </c>
      <c r="C187" s="93" t="s">
        <v>58</v>
      </c>
      <c r="D187" s="201">
        <f t="shared" ref="D187:D190" si="359">J187*$J$3</f>
        <v>274.09999999999991</v>
      </c>
      <c r="E187" s="201">
        <f t="shared" ref="E187:E190" si="360">K187*$J$3</f>
        <v>574.07000000000005</v>
      </c>
      <c r="F187" s="201">
        <f t="shared" ref="F187:F190" si="361">L187*$J$3</f>
        <v>3.61</v>
      </c>
      <c r="H187" s="91" t="s">
        <v>99</v>
      </c>
      <c r="J187" s="384">
        <f>851.78-K187-L187</f>
        <v>274.09999999999991</v>
      </c>
      <c r="K187" s="384">
        <v>574.07000000000005</v>
      </c>
      <c r="L187" s="384">
        <v>3.61</v>
      </c>
      <c r="M187" s="95">
        <f t="shared" si="343"/>
        <v>851.78</v>
      </c>
    </row>
    <row r="188" spans="1:13" x14ac:dyDescent="0.2">
      <c r="A188" s="394">
        <v>90023</v>
      </c>
      <c r="B188" s="91" t="s">
        <v>1149</v>
      </c>
      <c r="C188" s="93" t="s">
        <v>57</v>
      </c>
      <c r="D188" s="201">
        <f t="shared" si="359"/>
        <v>23.33</v>
      </c>
      <c r="E188" s="201">
        <f t="shared" si="360"/>
        <v>102.13</v>
      </c>
      <c r="F188" s="201">
        <f t="shared" si="361"/>
        <v>0</v>
      </c>
      <c r="H188" s="91" t="s">
        <v>99</v>
      </c>
      <c r="J188" s="384">
        <f>8.9+2.08+12.35</f>
        <v>23.33</v>
      </c>
      <c r="K188" s="384">
        <f>125.46-J188</f>
        <v>102.13</v>
      </c>
      <c r="L188" s="384">
        <f t="shared" ref="L188:L190" si="362">R188*$J$3</f>
        <v>0</v>
      </c>
      <c r="M188" s="95">
        <f t="shared" si="343"/>
        <v>125.46</v>
      </c>
    </row>
    <row r="189" spans="1:13" x14ac:dyDescent="0.2">
      <c r="A189" s="394">
        <v>160621</v>
      </c>
      <c r="B189" s="91" t="s">
        <v>1150</v>
      </c>
      <c r="C189" s="93" t="s">
        <v>57</v>
      </c>
      <c r="D189" s="201">
        <f t="shared" si="359"/>
        <v>61.86</v>
      </c>
      <c r="E189" s="201">
        <f t="shared" si="360"/>
        <v>96.160000000000011</v>
      </c>
      <c r="F189" s="201">
        <f t="shared" si="361"/>
        <v>0</v>
      </c>
      <c r="H189" s="91" t="s">
        <v>99</v>
      </c>
      <c r="J189" s="384">
        <f>18.31+10.8+32.75</f>
        <v>61.86</v>
      </c>
      <c r="K189" s="384">
        <f>158.02-J189</f>
        <v>96.160000000000011</v>
      </c>
      <c r="L189" s="384">
        <f t="shared" si="362"/>
        <v>0</v>
      </c>
      <c r="M189" s="95">
        <f t="shared" si="343"/>
        <v>158.02000000000001</v>
      </c>
    </row>
    <row r="190" spans="1:13" x14ac:dyDescent="0.2">
      <c r="A190" s="394">
        <v>160016</v>
      </c>
      <c r="B190" s="91" t="s">
        <v>1151</v>
      </c>
      <c r="C190" s="93" t="s">
        <v>57</v>
      </c>
      <c r="D190" s="201">
        <f t="shared" si="359"/>
        <v>144.13</v>
      </c>
      <c r="E190" s="201">
        <f t="shared" si="360"/>
        <v>66.09</v>
      </c>
      <c r="F190" s="201">
        <f t="shared" si="361"/>
        <v>0</v>
      </c>
      <c r="H190" s="91" t="s">
        <v>99</v>
      </c>
      <c r="J190" s="384">
        <f>38.5+29.33+76.3</f>
        <v>144.13</v>
      </c>
      <c r="K190" s="384">
        <f>210.22-J190</f>
        <v>66.09</v>
      </c>
      <c r="L190" s="384">
        <f t="shared" si="362"/>
        <v>0</v>
      </c>
      <c r="M190" s="246">
        <f>SUM(J190:L190)</f>
        <v>210.22</v>
      </c>
    </row>
    <row r="191" spans="1:13" x14ac:dyDescent="0.2">
      <c r="A191" s="394">
        <v>40338</v>
      </c>
      <c r="B191" s="91" t="s">
        <v>1176</v>
      </c>
      <c r="C191" s="93" t="s">
        <v>1177</v>
      </c>
      <c r="D191" s="201">
        <f t="shared" si="340"/>
        <v>7.33</v>
      </c>
      <c r="E191" s="201">
        <f t="shared" si="341"/>
        <v>0</v>
      </c>
      <c r="F191" s="201">
        <f t="shared" si="342"/>
        <v>19.414000000000001</v>
      </c>
      <c r="H191" s="91" t="s">
        <v>99</v>
      </c>
      <c r="J191" s="384">
        <f>3.45+3.88</f>
        <v>7.33</v>
      </c>
      <c r="K191" s="384"/>
      <c r="L191" s="384">
        <f>26.744-J191</f>
        <v>19.414000000000001</v>
      </c>
      <c r="M191" s="95">
        <f t="shared" si="343"/>
        <v>26.744</v>
      </c>
    </row>
    <row r="192" spans="1:13" x14ac:dyDescent="0.2">
      <c r="A192" s="394">
        <v>120224</v>
      </c>
      <c r="B192" s="91" t="s">
        <v>1217</v>
      </c>
      <c r="C192" s="93" t="s">
        <v>57</v>
      </c>
      <c r="D192" s="201">
        <f t="shared" si="340"/>
        <v>134.80000000000001</v>
      </c>
      <c r="E192" s="201">
        <f t="shared" si="341"/>
        <v>191.07999999999998</v>
      </c>
      <c r="F192" s="201">
        <f t="shared" si="342"/>
        <v>0</v>
      </c>
      <c r="H192" s="91" t="s">
        <v>99</v>
      </c>
      <c r="J192" s="384">
        <f>39.69+23.75+71.36</f>
        <v>134.80000000000001</v>
      </c>
      <c r="K192" s="384">
        <f>325.88-J192</f>
        <v>191.07999999999998</v>
      </c>
      <c r="L192" s="384"/>
      <c r="M192" s="95">
        <f t="shared" si="343"/>
        <v>325.88</v>
      </c>
    </row>
    <row r="193" spans="1:13" x14ac:dyDescent="0.2">
      <c r="A193" s="394">
        <v>130315</v>
      </c>
      <c r="B193" s="91" t="s">
        <v>1218</v>
      </c>
      <c r="C193" s="93" t="s">
        <v>2</v>
      </c>
      <c r="D193" s="201">
        <f t="shared" si="340"/>
        <v>13.030000000000008</v>
      </c>
      <c r="E193" s="201">
        <f t="shared" si="341"/>
        <v>63.87</v>
      </c>
      <c r="F193" s="201">
        <f t="shared" si="342"/>
        <v>0</v>
      </c>
      <c r="H193" s="91" t="s">
        <v>99</v>
      </c>
      <c r="J193" s="384">
        <f>76.9-K193</f>
        <v>13.030000000000008</v>
      </c>
      <c r="K193" s="384">
        <f>9.75+54.12</f>
        <v>63.87</v>
      </c>
      <c r="L193" s="384"/>
      <c r="M193" s="95">
        <f t="shared" ref="M193" si="363">SUM(J193:L193)</f>
        <v>76.900000000000006</v>
      </c>
    </row>
    <row r="194" spans="1:13" x14ac:dyDescent="0.2">
      <c r="A194" s="394">
        <v>130348</v>
      </c>
      <c r="B194" s="91" t="s">
        <v>1219</v>
      </c>
      <c r="C194" s="93" t="s">
        <v>2</v>
      </c>
      <c r="D194" s="201">
        <f t="shared" si="340"/>
        <v>34.909999999999997</v>
      </c>
      <c r="E194" s="201">
        <f t="shared" si="341"/>
        <v>1.0600000000000023</v>
      </c>
      <c r="F194" s="201">
        <f t="shared" si="342"/>
        <v>0</v>
      </c>
      <c r="H194" s="91" t="s">
        <v>99</v>
      </c>
      <c r="J194" s="384">
        <f>10.46+5.97+18.48</f>
        <v>34.909999999999997</v>
      </c>
      <c r="K194" s="384">
        <f>35.97-J194</f>
        <v>1.0600000000000023</v>
      </c>
      <c r="L194" s="384"/>
      <c r="M194" s="95">
        <f t="shared" si="343"/>
        <v>35.97</v>
      </c>
    </row>
    <row r="195" spans="1:13" x14ac:dyDescent="0.2">
      <c r="A195" s="394">
        <v>180115</v>
      </c>
      <c r="B195" s="91" t="s">
        <v>1220</v>
      </c>
      <c r="C195" s="93" t="s">
        <v>57</v>
      </c>
      <c r="D195" s="201">
        <f t="shared" si="340"/>
        <v>63.39</v>
      </c>
      <c r="E195" s="201">
        <f t="shared" si="341"/>
        <v>19.409999999999997</v>
      </c>
      <c r="F195" s="201">
        <f t="shared" si="342"/>
        <v>0</v>
      </c>
      <c r="H195" s="91" t="s">
        <v>99</v>
      </c>
      <c r="J195" s="384">
        <f>22.92+6.91+33.56</f>
        <v>63.39</v>
      </c>
      <c r="K195" s="384">
        <f>82.8-J195</f>
        <v>19.409999999999997</v>
      </c>
      <c r="L195" s="384"/>
      <c r="M195" s="95">
        <f t="shared" si="343"/>
        <v>82.8</v>
      </c>
    </row>
    <row r="196" spans="1:13" x14ac:dyDescent="0.2">
      <c r="A196" s="394">
        <v>110003</v>
      </c>
      <c r="B196" s="91" t="s">
        <v>1312</v>
      </c>
      <c r="C196" s="93" t="s">
        <v>57</v>
      </c>
      <c r="D196" s="201">
        <f t="shared" si="340"/>
        <v>323.38999999999987</v>
      </c>
      <c r="E196" s="201">
        <f t="shared" si="341"/>
        <v>2500</v>
      </c>
      <c r="F196" s="201">
        <f t="shared" si="342"/>
        <v>0</v>
      </c>
      <c r="H196" s="91" t="s">
        <v>99</v>
      </c>
      <c r="J196" s="384">
        <f>2823.39-K196</f>
        <v>323.38999999999987</v>
      </c>
      <c r="K196" s="384">
        <f>2500</f>
        <v>2500</v>
      </c>
      <c r="L196" s="384"/>
      <c r="M196" s="95">
        <f t="shared" si="343"/>
        <v>2823.39</v>
      </c>
    </row>
    <row r="197" spans="1:13" x14ac:dyDescent="0.2">
      <c r="A197" s="394">
        <v>190578</v>
      </c>
      <c r="B197" s="91" t="s">
        <v>1313</v>
      </c>
      <c r="C197" s="93" t="s">
        <v>57</v>
      </c>
      <c r="D197" s="201">
        <f t="shared" si="340"/>
        <v>0</v>
      </c>
      <c r="E197" s="201">
        <f t="shared" si="341"/>
        <v>2500</v>
      </c>
      <c r="F197" s="201">
        <f t="shared" si="342"/>
        <v>0</v>
      </c>
      <c r="H197" s="91" t="s">
        <v>99</v>
      </c>
      <c r="J197" s="384"/>
      <c r="K197" s="384">
        <v>2500</v>
      </c>
      <c r="L197" s="384"/>
      <c r="M197" s="95">
        <f t="shared" si="343"/>
        <v>2500</v>
      </c>
    </row>
    <row r="198" spans="1:13" x14ac:dyDescent="0.2">
      <c r="A198" s="394">
        <v>110037</v>
      </c>
      <c r="B198" s="91" t="s">
        <v>1861</v>
      </c>
      <c r="C198" s="93" t="s">
        <v>3</v>
      </c>
      <c r="D198" s="201">
        <f t="shared" si="340"/>
        <v>364.48</v>
      </c>
      <c r="E198" s="201">
        <f t="shared" si="341"/>
        <v>933.58999999999992</v>
      </c>
      <c r="F198" s="201">
        <f t="shared" si="342"/>
        <v>0</v>
      </c>
      <c r="H198" s="91" t="s">
        <v>99</v>
      </c>
      <c r="J198" s="384">
        <f>110.57+60.96+192.95</f>
        <v>364.48</v>
      </c>
      <c r="K198" s="384">
        <f>1298.07-J198</f>
        <v>933.58999999999992</v>
      </c>
      <c r="L198" s="384"/>
      <c r="M198" s="95">
        <f t="shared" si="343"/>
        <v>1298.07</v>
      </c>
    </row>
    <row r="199" spans="1:13" x14ac:dyDescent="0.2">
      <c r="A199" s="394">
        <v>111515</v>
      </c>
      <c r="B199" s="91" t="s">
        <v>1867</v>
      </c>
      <c r="C199" s="93" t="s">
        <v>3</v>
      </c>
      <c r="D199" s="201">
        <f t="shared" ref="D199:D208" si="364">J199*$J$3</f>
        <v>337.84000000000003</v>
      </c>
      <c r="E199" s="201">
        <f t="shared" ref="E199:E208" si="365">K199*$J$3</f>
        <v>2654.98</v>
      </c>
      <c r="F199" s="201">
        <f t="shared" ref="F199:F208" si="366">L199*$J$3</f>
        <v>0</v>
      </c>
      <c r="H199" s="91" t="s">
        <v>99</v>
      </c>
      <c r="J199" s="384">
        <f>93.11+65.88+178.85</f>
        <v>337.84000000000003</v>
      </c>
      <c r="K199" s="384">
        <f>2992.82-J199</f>
        <v>2654.98</v>
      </c>
      <c r="L199" s="384"/>
      <c r="M199" s="293">
        <f t="shared" si="343"/>
        <v>2992.82</v>
      </c>
    </row>
    <row r="200" spans="1:13" x14ac:dyDescent="0.2">
      <c r="A200" s="394">
        <v>111700</v>
      </c>
      <c r="B200" s="91" t="s">
        <v>1869</v>
      </c>
      <c r="C200" s="93" t="s">
        <v>2</v>
      </c>
      <c r="D200" s="201">
        <f t="shared" ref="D200" si="367">J200*$J$3</f>
        <v>22.04</v>
      </c>
      <c r="E200" s="201">
        <f t="shared" ref="E200" si="368">K200*$J$3</f>
        <v>771.11</v>
      </c>
      <c r="F200" s="201">
        <f t="shared" ref="F200" si="369">L200*$J$3</f>
        <v>0</v>
      </c>
      <c r="H200" s="91" t="s">
        <v>99</v>
      </c>
      <c r="J200" s="384">
        <f>6.07+4.3+11.67</f>
        <v>22.04</v>
      </c>
      <c r="K200" s="384">
        <f>793.15-J200</f>
        <v>771.11</v>
      </c>
      <c r="L200" s="384"/>
      <c r="M200" s="293">
        <f t="shared" si="343"/>
        <v>793.15</v>
      </c>
    </row>
    <row r="201" spans="1:13" ht="13.5" x14ac:dyDescent="0.25">
      <c r="A201" s="390">
        <v>110046</v>
      </c>
      <c r="B201" s="90" t="s">
        <v>2347</v>
      </c>
      <c r="C201" s="94" t="s">
        <v>3</v>
      </c>
      <c r="D201" s="92">
        <f t="shared" si="364"/>
        <v>0</v>
      </c>
      <c r="E201" s="92">
        <f t="shared" si="365"/>
        <v>12063.71</v>
      </c>
      <c r="F201" s="92">
        <f t="shared" si="366"/>
        <v>0</v>
      </c>
      <c r="H201" s="91" t="s">
        <v>99</v>
      </c>
      <c r="J201" s="95"/>
      <c r="K201" s="95">
        <v>12063.71</v>
      </c>
      <c r="L201" s="95"/>
      <c r="M201" s="293">
        <f t="shared" si="343"/>
        <v>12063.71</v>
      </c>
    </row>
    <row r="202" spans="1:13" x14ac:dyDescent="0.2">
      <c r="A202" s="394">
        <v>180063</v>
      </c>
      <c r="B202" s="91" t="s">
        <v>1880</v>
      </c>
      <c r="C202" s="93" t="s">
        <v>57</v>
      </c>
      <c r="D202" s="201">
        <f t="shared" si="364"/>
        <v>19.549999999999997</v>
      </c>
      <c r="E202" s="201">
        <f t="shared" si="365"/>
        <v>26.550000000000004</v>
      </c>
      <c r="F202" s="201">
        <f t="shared" si="366"/>
        <v>0</v>
      </c>
      <c r="H202" s="91" t="s">
        <v>99</v>
      </c>
      <c r="J202" s="384">
        <f>5.34+3.86+10.35</f>
        <v>19.549999999999997</v>
      </c>
      <c r="K202" s="384">
        <f>46.1-J202</f>
        <v>26.550000000000004</v>
      </c>
      <c r="L202" s="384"/>
      <c r="M202" s="293">
        <f t="shared" si="343"/>
        <v>46.1</v>
      </c>
    </row>
    <row r="203" spans="1:13" x14ac:dyDescent="0.2">
      <c r="A203" s="394">
        <v>210011</v>
      </c>
      <c r="B203" s="91" t="s">
        <v>1884</v>
      </c>
      <c r="C203" s="93" t="s">
        <v>57</v>
      </c>
      <c r="D203" s="201">
        <f t="shared" si="364"/>
        <v>13</v>
      </c>
      <c r="E203" s="201">
        <f t="shared" si="365"/>
        <v>1.75</v>
      </c>
      <c r="F203" s="201">
        <f t="shared" si="366"/>
        <v>0</v>
      </c>
      <c r="H203" s="91" t="s">
        <v>99</v>
      </c>
      <c r="J203" s="384">
        <f>14.75-K203</f>
        <v>13</v>
      </c>
      <c r="K203" s="384">
        <v>1.75</v>
      </c>
      <c r="L203" s="384"/>
      <c r="M203" s="293">
        <f t="shared" si="343"/>
        <v>14.75</v>
      </c>
    </row>
    <row r="204" spans="1:13" x14ac:dyDescent="0.2">
      <c r="A204" s="394">
        <v>210010</v>
      </c>
      <c r="B204" s="91" t="s">
        <v>1885</v>
      </c>
      <c r="C204" s="93" t="s">
        <v>57</v>
      </c>
      <c r="D204" s="201">
        <f t="shared" si="364"/>
        <v>35.909999999999997</v>
      </c>
      <c r="E204" s="201">
        <f t="shared" si="365"/>
        <v>17.090000000000003</v>
      </c>
      <c r="F204" s="201">
        <f t="shared" si="366"/>
        <v>0</v>
      </c>
      <c r="H204" s="91" t="s">
        <v>99</v>
      </c>
      <c r="J204" s="384">
        <f>16.9+19.01</f>
        <v>35.909999999999997</v>
      </c>
      <c r="K204" s="384">
        <f>53-J204</f>
        <v>17.090000000000003</v>
      </c>
      <c r="L204" s="384"/>
      <c r="M204" s="293">
        <f t="shared" si="343"/>
        <v>53</v>
      </c>
    </row>
    <row r="205" spans="1:13" x14ac:dyDescent="0.2">
      <c r="A205" s="394">
        <v>150071</v>
      </c>
      <c r="B205" s="91" t="s">
        <v>1886</v>
      </c>
      <c r="C205" s="93" t="s">
        <v>57</v>
      </c>
      <c r="D205" s="201">
        <f t="shared" si="364"/>
        <v>38.990000000000009</v>
      </c>
      <c r="E205" s="201">
        <f t="shared" si="365"/>
        <v>598.5</v>
      </c>
      <c r="F205" s="201">
        <f t="shared" si="366"/>
        <v>0</v>
      </c>
      <c r="H205" s="91" t="s">
        <v>99</v>
      </c>
      <c r="J205" s="384">
        <f>637.49-K205</f>
        <v>38.990000000000009</v>
      </c>
      <c r="K205" s="384">
        <v>598.5</v>
      </c>
      <c r="L205" s="384"/>
      <c r="M205" s="293">
        <f t="shared" si="343"/>
        <v>637.49</v>
      </c>
    </row>
    <row r="206" spans="1:13" x14ac:dyDescent="0.2">
      <c r="A206" s="394">
        <v>150232</v>
      </c>
      <c r="B206" s="91" t="s">
        <v>1887</v>
      </c>
      <c r="C206" s="93" t="s">
        <v>3</v>
      </c>
      <c r="D206" s="201">
        <f t="shared" si="364"/>
        <v>40.17999999999995</v>
      </c>
      <c r="E206" s="201">
        <f t="shared" si="365"/>
        <v>519.96</v>
      </c>
      <c r="F206" s="201">
        <f t="shared" si="366"/>
        <v>0</v>
      </c>
      <c r="H206" s="91" t="s">
        <v>99</v>
      </c>
      <c r="J206" s="384">
        <f>560.14-K206</f>
        <v>40.17999999999995</v>
      </c>
      <c r="K206" s="384">
        <f>518.7+1.26</f>
        <v>519.96</v>
      </c>
      <c r="L206" s="384"/>
      <c r="M206" s="293">
        <f t="shared" si="343"/>
        <v>560.14</v>
      </c>
    </row>
    <row r="207" spans="1:13" x14ac:dyDescent="0.2">
      <c r="A207" s="394">
        <v>160156</v>
      </c>
      <c r="B207" s="91" t="s">
        <v>1888</v>
      </c>
      <c r="C207" s="93" t="s">
        <v>57</v>
      </c>
      <c r="D207" s="201">
        <f t="shared" si="364"/>
        <v>46.61999999999999</v>
      </c>
      <c r="E207" s="201">
        <f t="shared" si="365"/>
        <v>25.2</v>
      </c>
      <c r="F207" s="201">
        <f t="shared" si="366"/>
        <v>0</v>
      </c>
      <c r="H207" s="91" t="s">
        <v>99</v>
      </c>
      <c r="J207" s="384">
        <f>71.82-K207</f>
        <v>46.61999999999999</v>
      </c>
      <c r="K207" s="384">
        <v>25.2</v>
      </c>
      <c r="L207" s="384"/>
      <c r="M207" s="293">
        <f t="shared" si="343"/>
        <v>71.819999999999993</v>
      </c>
    </row>
    <row r="208" spans="1:13" x14ac:dyDescent="0.2">
      <c r="A208" s="394">
        <v>120432</v>
      </c>
      <c r="B208" s="91" t="s">
        <v>1889</v>
      </c>
      <c r="C208" s="93" t="s">
        <v>57</v>
      </c>
      <c r="D208" s="201">
        <f t="shared" si="364"/>
        <v>66.61999999999999</v>
      </c>
      <c r="E208" s="201">
        <f t="shared" si="365"/>
        <v>25.2</v>
      </c>
      <c r="F208" s="201">
        <f t="shared" si="366"/>
        <v>0</v>
      </c>
      <c r="H208" s="91" t="s">
        <v>99</v>
      </c>
      <c r="J208" s="384">
        <f>91.82-K208</f>
        <v>66.61999999999999</v>
      </c>
      <c r="K208" s="384">
        <v>25.2</v>
      </c>
      <c r="L208" s="384"/>
      <c r="M208" s="293">
        <f t="shared" si="343"/>
        <v>91.82</v>
      </c>
    </row>
    <row r="209" spans="1:13" x14ac:dyDescent="0.2">
      <c r="A209" s="394">
        <v>190016</v>
      </c>
      <c r="B209" s="91" t="s">
        <v>1891</v>
      </c>
      <c r="C209" s="93" t="s">
        <v>3</v>
      </c>
      <c r="D209" s="201">
        <f t="shared" ref="D209:D214" si="370">J209*$J$3</f>
        <v>129.82999999999993</v>
      </c>
      <c r="E209" s="201">
        <f t="shared" ref="E209:E214" si="371">K209*$J$3</f>
        <v>1277.6500000000001</v>
      </c>
      <c r="F209" s="201">
        <f t="shared" ref="F209:F214" si="372">L209*$J$3</f>
        <v>0</v>
      </c>
      <c r="H209" s="91" t="s">
        <v>99</v>
      </c>
      <c r="J209" s="384">
        <f>1407.48-K209</f>
        <v>129.82999999999993</v>
      </c>
      <c r="K209" s="384">
        <v>1277.6500000000001</v>
      </c>
      <c r="L209" s="384"/>
      <c r="M209" s="293">
        <f t="shared" si="343"/>
        <v>1407.48</v>
      </c>
    </row>
    <row r="210" spans="1:13" x14ac:dyDescent="0.2">
      <c r="A210" s="394">
        <v>190874</v>
      </c>
      <c r="B210" s="91" t="s">
        <v>1890</v>
      </c>
      <c r="C210" s="93" t="s">
        <v>3</v>
      </c>
      <c r="D210" s="201">
        <f t="shared" si="370"/>
        <v>61.769999999999982</v>
      </c>
      <c r="E210" s="201">
        <f t="shared" si="371"/>
        <v>587.75</v>
      </c>
      <c r="F210" s="201">
        <f t="shared" si="372"/>
        <v>0</v>
      </c>
      <c r="H210" s="91" t="s">
        <v>99</v>
      </c>
      <c r="J210" s="384">
        <f>649.52-K210</f>
        <v>61.769999999999982</v>
      </c>
      <c r="K210" s="384">
        <v>587.75</v>
      </c>
      <c r="L210" s="384"/>
      <c r="M210" s="293">
        <f t="shared" si="343"/>
        <v>649.52</v>
      </c>
    </row>
    <row r="211" spans="1:13" x14ac:dyDescent="0.2">
      <c r="A211" s="394">
        <v>202113</v>
      </c>
      <c r="B211" s="91" t="s">
        <v>1892</v>
      </c>
      <c r="C211" s="93" t="s">
        <v>3</v>
      </c>
      <c r="D211" s="201">
        <f t="shared" si="370"/>
        <v>41.730000000000018</v>
      </c>
      <c r="E211" s="201">
        <f t="shared" si="371"/>
        <v>423.14</v>
      </c>
      <c r="F211" s="201">
        <f t="shared" si="372"/>
        <v>0</v>
      </c>
      <c r="H211" s="91" t="s">
        <v>99</v>
      </c>
      <c r="J211" s="384">
        <f>464.87-K211</f>
        <v>41.730000000000018</v>
      </c>
      <c r="K211" s="384">
        <f>422.99+0.15</f>
        <v>423.14</v>
      </c>
      <c r="L211" s="384"/>
      <c r="M211" s="293">
        <f t="shared" si="343"/>
        <v>464.87</v>
      </c>
    </row>
    <row r="212" spans="1:13" x14ac:dyDescent="0.2">
      <c r="A212" s="394">
        <v>190324</v>
      </c>
      <c r="B212" s="91" t="s">
        <v>1893</v>
      </c>
      <c r="C212" s="93" t="s">
        <v>3</v>
      </c>
      <c r="D212" s="201">
        <f t="shared" si="370"/>
        <v>18.379999999999995</v>
      </c>
      <c r="E212" s="201">
        <f t="shared" si="371"/>
        <v>205</v>
      </c>
      <c r="F212" s="201">
        <f t="shared" si="372"/>
        <v>0</v>
      </c>
      <c r="H212" s="91" t="s">
        <v>99</v>
      </c>
      <c r="J212" s="384">
        <f>223.38-K212</f>
        <v>18.379999999999995</v>
      </c>
      <c r="K212" s="384">
        <v>205</v>
      </c>
      <c r="L212" s="384"/>
      <c r="M212" s="293">
        <f t="shared" si="343"/>
        <v>223.38</v>
      </c>
    </row>
    <row r="213" spans="1:13" x14ac:dyDescent="0.2">
      <c r="A213" s="394">
        <v>190323</v>
      </c>
      <c r="B213" s="91" t="s">
        <v>1894</v>
      </c>
      <c r="C213" s="93" t="s">
        <v>3</v>
      </c>
      <c r="D213" s="201">
        <f t="shared" si="370"/>
        <v>18.379999999999995</v>
      </c>
      <c r="E213" s="201">
        <f t="shared" si="371"/>
        <v>425.77</v>
      </c>
      <c r="F213" s="201">
        <f t="shared" si="372"/>
        <v>0</v>
      </c>
      <c r="H213" s="91" t="s">
        <v>99</v>
      </c>
      <c r="J213" s="384">
        <f>444.15-K213</f>
        <v>18.379999999999995</v>
      </c>
      <c r="K213" s="384">
        <f>425.69+0.08</f>
        <v>425.77</v>
      </c>
      <c r="L213" s="384"/>
      <c r="M213" s="293">
        <f t="shared" si="343"/>
        <v>444.15</v>
      </c>
    </row>
    <row r="214" spans="1:13" x14ac:dyDescent="0.2">
      <c r="A214" s="394">
        <v>190085</v>
      </c>
      <c r="B214" s="91" t="s">
        <v>1895</v>
      </c>
      <c r="C214" s="93" t="s">
        <v>3</v>
      </c>
      <c r="D214" s="201">
        <f t="shared" si="370"/>
        <v>28.03</v>
      </c>
      <c r="E214" s="201">
        <f t="shared" si="371"/>
        <v>121.9</v>
      </c>
      <c r="F214" s="201">
        <f t="shared" si="372"/>
        <v>0</v>
      </c>
      <c r="H214" s="91" t="s">
        <v>99</v>
      </c>
      <c r="J214" s="384">
        <f>149.93-K214</f>
        <v>28.03</v>
      </c>
      <c r="K214" s="384">
        <v>121.9</v>
      </c>
      <c r="L214" s="384"/>
      <c r="M214" s="293">
        <f t="shared" si="343"/>
        <v>149.93</v>
      </c>
    </row>
    <row r="215" spans="1:13" x14ac:dyDescent="0.2">
      <c r="A215" s="394">
        <v>202310</v>
      </c>
      <c r="B215" s="91" t="s">
        <v>1898</v>
      </c>
      <c r="C215" s="93" t="s">
        <v>3</v>
      </c>
      <c r="D215" s="201">
        <f t="shared" ref="D215" si="373">J215*$J$3</f>
        <v>4.1000000000000014</v>
      </c>
      <c r="E215" s="201">
        <f t="shared" ref="E215" si="374">K215*$J$3</f>
        <v>12</v>
      </c>
      <c r="F215" s="201">
        <f t="shared" ref="F215" si="375">L215*$J$3</f>
        <v>0</v>
      </c>
      <c r="H215" s="91" t="s">
        <v>99</v>
      </c>
      <c r="J215" s="384">
        <f>16.1-K215</f>
        <v>4.1000000000000014</v>
      </c>
      <c r="K215" s="384">
        <v>12</v>
      </c>
      <c r="L215" s="384"/>
      <c r="M215" s="293">
        <f t="shared" si="343"/>
        <v>16.100000000000001</v>
      </c>
    </row>
    <row r="216" spans="1:13" x14ac:dyDescent="0.2">
      <c r="A216" s="394">
        <v>52378</v>
      </c>
      <c r="B216" s="91" t="s">
        <v>1903</v>
      </c>
      <c r="C216" s="93" t="s">
        <v>2</v>
      </c>
      <c r="D216" s="201">
        <f>J216*$J$3</f>
        <v>11.2</v>
      </c>
      <c r="E216" s="201">
        <f t="shared" ref="E216:E238" si="376">K216*$J$3</f>
        <v>6.9000000000000021</v>
      </c>
      <c r="F216" s="201">
        <f t="shared" ref="F216:F238" si="377">L216*$J$3</f>
        <v>0</v>
      </c>
      <c r="H216" s="91" t="s">
        <v>99</v>
      </c>
      <c r="J216" s="384">
        <f>2.28+2.99+5.93</f>
        <v>11.2</v>
      </c>
      <c r="K216" s="384">
        <f>18.1-J216</f>
        <v>6.9000000000000021</v>
      </c>
      <c r="L216" s="384"/>
      <c r="M216" s="293">
        <f t="shared" ref="M216:M238" si="378">SUM(J216:L216)</f>
        <v>18.100000000000001</v>
      </c>
    </row>
    <row r="217" spans="1:13" x14ac:dyDescent="0.2">
      <c r="A217" s="394">
        <v>52069</v>
      </c>
      <c r="B217" s="91" t="s">
        <v>1902</v>
      </c>
      <c r="C217" s="93" t="s">
        <v>2</v>
      </c>
      <c r="D217" s="201">
        <f t="shared" ref="D217:D238" si="379">J217*$J$3</f>
        <v>6.7799999999999994</v>
      </c>
      <c r="E217" s="201">
        <f t="shared" si="376"/>
        <v>10.87</v>
      </c>
      <c r="F217" s="201">
        <f t="shared" si="377"/>
        <v>0</v>
      </c>
      <c r="H217" s="91" t="s">
        <v>99</v>
      </c>
      <c r="J217" s="384">
        <f>17.65-K217</f>
        <v>6.7799999999999994</v>
      </c>
      <c r="K217" s="384">
        <v>10.87</v>
      </c>
      <c r="L217" s="384"/>
      <c r="M217" s="293">
        <f t="shared" si="378"/>
        <v>17.649999999999999</v>
      </c>
    </row>
    <row r="218" spans="1:13" x14ac:dyDescent="0.2">
      <c r="A218" s="394">
        <v>52240</v>
      </c>
      <c r="B218" s="91" t="s">
        <v>1901</v>
      </c>
      <c r="C218" s="93" t="s">
        <v>2</v>
      </c>
      <c r="D218" s="201">
        <f t="shared" si="379"/>
        <v>14.68</v>
      </c>
      <c r="E218" s="201">
        <f t="shared" si="376"/>
        <v>25.799999999999997</v>
      </c>
      <c r="F218" s="201">
        <f t="shared" si="377"/>
        <v>0</v>
      </c>
      <c r="H218" s="91" t="s">
        <v>99</v>
      </c>
      <c r="J218" s="384">
        <f>2.99+3.92+7.77</f>
        <v>14.68</v>
      </c>
      <c r="K218" s="384">
        <f>40.48-J218</f>
        <v>25.799999999999997</v>
      </c>
      <c r="L218" s="384"/>
      <c r="M218" s="293">
        <f t="shared" si="378"/>
        <v>40.479999999999997</v>
      </c>
    </row>
    <row r="219" spans="1:13" x14ac:dyDescent="0.2">
      <c r="A219" s="394">
        <v>52879</v>
      </c>
      <c r="B219" s="91" t="s">
        <v>1900</v>
      </c>
      <c r="C219" s="93" t="s">
        <v>2</v>
      </c>
      <c r="D219" s="201">
        <f t="shared" si="379"/>
        <v>16.32</v>
      </c>
      <c r="E219" s="201">
        <f t="shared" si="376"/>
        <v>28.740000000000002</v>
      </c>
      <c r="F219" s="201">
        <f t="shared" si="377"/>
        <v>0</v>
      </c>
      <c r="H219" s="91" t="s">
        <v>99</v>
      </c>
      <c r="J219" s="384">
        <f>3.32+4.36+8.64</f>
        <v>16.32</v>
      </c>
      <c r="K219" s="384">
        <f>45.06-J219</f>
        <v>28.740000000000002</v>
      </c>
      <c r="L219" s="384"/>
      <c r="M219" s="293">
        <f t="shared" si="378"/>
        <v>45.06</v>
      </c>
    </row>
    <row r="220" spans="1:13" x14ac:dyDescent="0.2">
      <c r="A220" s="394">
        <v>52878</v>
      </c>
      <c r="B220" s="91" t="s">
        <v>1899</v>
      </c>
      <c r="C220" s="93" t="s">
        <v>2</v>
      </c>
      <c r="D220" s="201">
        <f t="shared" si="379"/>
        <v>17.68</v>
      </c>
      <c r="E220" s="201">
        <f t="shared" si="376"/>
        <v>51.190000000000005</v>
      </c>
      <c r="F220" s="201">
        <f t="shared" si="377"/>
        <v>0</v>
      </c>
      <c r="H220" s="91" t="s">
        <v>99</v>
      </c>
      <c r="J220" s="384">
        <f>3.6+4.72+9.36</f>
        <v>17.68</v>
      </c>
      <c r="K220" s="384">
        <f>68.87-J220</f>
        <v>51.190000000000005</v>
      </c>
      <c r="L220" s="384"/>
      <c r="M220" s="293">
        <f t="shared" si="378"/>
        <v>68.87</v>
      </c>
    </row>
    <row r="221" spans="1:13" x14ac:dyDescent="0.2">
      <c r="A221" s="394">
        <v>53086</v>
      </c>
      <c r="B221" s="91" t="s">
        <v>1911</v>
      </c>
      <c r="C221" s="93" t="s">
        <v>3</v>
      </c>
      <c r="D221" s="201">
        <f t="shared" si="379"/>
        <v>69.02000000000001</v>
      </c>
      <c r="E221" s="201">
        <f t="shared" si="376"/>
        <v>168.45</v>
      </c>
      <c r="F221" s="201">
        <f t="shared" si="377"/>
        <v>0</v>
      </c>
      <c r="H221" s="91" t="s">
        <v>99</v>
      </c>
      <c r="J221" s="384">
        <f>14.04+18.44+36.54</f>
        <v>69.02000000000001</v>
      </c>
      <c r="K221" s="384">
        <f>237.47-J221</f>
        <v>168.45</v>
      </c>
      <c r="L221" s="384"/>
      <c r="M221" s="293">
        <f t="shared" si="378"/>
        <v>237.47</v>
      </c>
    </row>
    <row r="222" spans="1:13" x14ac:dyDescent="0.2">
      <c r="A222" s="394">
        <v>58145</v>
      </c>
      <c r="B222" s="91" t="s">
        <v>1943</v>
      </c>
      <c r="C222" s="93" t="s">
        <v>3</v>
      </c>
      <c r="D222" s="201">
        <f t="shared" si="379"/>
        <v>181.34000000000015</v>
      </c>
      <c r="E222" s="201">
        <f t="shared" si="376"/>
        <v>1498.37</v>
      </c>
      <c r="F222" s="201">
        <f t="shared" si="377"/>
        <v>0</v>
      </c>
      <c r="H222" s="91" t="s">
        <v>99</v>
      </c>
      <c r="J222" s="384">
        <f>1679.71-K222</f>
        <v>181.34000000000015</v>
      </c>
      <c r="K222" s="384">
        <f>1487.01+11.36</f>
        <v>1498.37</v>
      </c>
      <c r="L222" s="384"/>
      <c r="M222" s="293">
        <f t="shared" si="378"/>
        <v>1679.71</v>
      </c>
    </row>
    <row r="223" spans="1:13" x14ac:dyDescent="0.2">
      <c r="A223" s="394">
        <v>55530</v>
      </c>
      <c r="B223" s="91" t="s">
        <v>1941</v>
      </c>
      <c r="C223" s="93" t="s">
        <v>3</v>
      </c>
      <c r="D223" s="201">
        <f t="shared" si="379"/>
        <v>34.659999999999968</v>
      </c>
      <c r="E223" s="201">
        <f t="shared" si="376"/>
        <v>285.36</v>
      </c>
      <c r="F223" s="201">
        <f t="shared" si="377"/>
        <v>0</v>
      </c>
      <c r="H223" s="91" t="s">
        <v>99</v>
      </c>
      <c r="J223" s="384">
        <f>320.02-K223</f>
        <v>34.659999999999968</v>
      </c>
      <c r="K223" s="384">
        <v>285.36</v>
      </c>
      <c r="L223" s="384"/>
      <c r="M223" s="293">
        <f t="shared" si="378"/>
        <v>320.02</v>
      </c>
    </row>
    <row r="224" spans="1:13" x14ac:dyDescent="0.2">
      <c r="A224" s="394">
        <v>58610</v>
      </c>
      <c r="B224" s="91" t="s">
        <v>1942</v>
      </c>
      <c r="C224" s="93" t="s">
        <v>3</v>
      </c>
      <c r="D224" s="201">
        <f t="shared" si="379"/>
        <v>33.339999999999989</v>
      </c>
      <c r="E224" s="201">
        <f t="shared" si="376"/>
        <v>100.42</v>
      </c>
      <c r="F224" s="201">
        <f t="shared" si="377"/>
        <v>0</v>
      </c>
      <c r="H224" s="91" t="s">
        <v>99</v>
      </c>
      <c r="J224" s="384">
        <f>133.76-K224</f>
        <v>33.339999999999989</v>
      </c>
      <c r="K224" s="384">
        <f>0.42+100</f>
        <v>100.42</v>
      </c>
      <c r="L224" s="384"/>
      <c r="M224" s="293">
        <f t="shared" si="378"/>
        <v>133.76</v>
      </c>
    </row>
    <row r="225" spans="1:14" x14ac:dyDescent="0.2">
      <c r="A225" s="394">
        <v>67207</v>
      </c>
      <c r="B225" s="91" t="s">
        <v>1944</v>
      </c>
      <c r="C225" s="93" t="s">
        <v>3</v>
      </c>
      <c r="D225" s="201">
        <f t="shared" si="379"/>
        <v>422.9</v>
      </c>
      <c r="E225" s="201">
        <f t="shared" si="376"/>
        <v>144.41</v>
      </c>
      <c r="F225" s="201">
        <f t="shared" si="377"/>
        <v>0</v>
      </c>
      <c r="H225" s="91" t="s">
        <v>99</v>
      </c>
      <c r="J225" s="384">
        <f>567.31-K225</f>
        <v>422.9</v>
      </c>
      <c r="K225" s="384">
        <v>144.41</v>
      </c>
      <c r="L225" s="384"/>
      <c r="M225" s="293">
        <f t="shared" si="378"/>
        <v>567.30999999999995</v>
      </c>
    </row>
    <row r="226" spans="1:14" x14ac:dyDescent="0.2">
      <c r="A226" s="394">
        <v>59438</v>
      </c>
      <c r="B226" s="91" t="s">
        <v>1945</v>
      </c>
      <c r="C226" s="93" t="s">
        <v>3</v>
      </c>
      <c r="D226" s="201">
        <f t="shared" si="379"/>
        <v>86.799999999999983</v>
      </c>
      <c r="E226" s="201">
        <f t="shared" si="376"/>
        <v>207.1</v>
      </c>
      <c r="F226" s="201">
        <f t="shared" si="377"/>
        <v>0</v>
      </c>
      <c r="H226" s="91" t="s">
        <v>99</v>
      </c>
      <c r="J226" s="384">
        <f>293.9-K226</f>
        <v>86.799999999999983</v>
      </c>
      <c r="K226" s="384">
        <v>207.1</v>
      </c>
      <c r="L226" s="384"/>
      <c r="M226" s="293">
        <f t="shared" si="378"/>
        <v>293.89999999999998</v>
      </c>
    </row>
    <row r="227" spans="1:14" x14ac:dyDescent="0.2">
      <c r="A227" s="394">
        <v>59464</v>
      </c>
      <c r="B227" s="91" t="s">
        <v>1946</v>
      </c>
      <c r="C227" s="93" t="s">
        <v>3</v>
      </c>
      <c r="D227" s="201">
        <f t="shared" si="379"/>
        <v>351.35</v>
      </c>
      <c r="E227" s="201">
        <f t="shared" si="376"/>
        <v>664.05</v>
      </c>
      <c r="F227" s="201">
        <f t="shared" si="377"/>
        <v>0</v>
      </c>
      <c r="H227" s="91" t="s">
        <v>99</v>
      </c>
      <c r="J227" s="384">
        <f>1015.4-K227</f>
        <v>351.35</v>
      </c>
      <c r="K227" s="384">
        <v>664.05</v>
      </c>
      <c r="L227" s="384"/>
      <c r="M227" s="293">
        <f t="shared" si="378"/>
        <v>1015.4</v>
      </c>
    </row>
    <row r="228" spans="1:14" x14ac:dyDescent="0.2">
      <c r="A228" s="394">
        <v>59332</v>
      </c>
      <c r="B228" s="91" t="s">
        <v>1947</v>
      </c>
      <c r="C228" s="93" t="s">
        <v>3</v>
      </c>
      <c r="D228" s="201">
        <f t="shared" si="379"/>
        <v>224.41000000000003</v>
      </c>
      <c r="E228" s="201">
        <f t="shared" si="376"/>
        <v>133</v>
      </c>
      <c r="F228" s="201">
        <f t="shared" si="377"/>
        <v>0</v>
      </c>
      <c r="H228" s="91" t="s">
        <v>99</v>
      </c>
      <c r="J228" s="384">
        <f>357.41-K228</f>
        <v>224.41000000000003</v>
      </c>
      <c r="K228" s="384">
        <v>133</v>
      </c>
      <c r="L228" s="384"/>
      <c r="M228" s="293">
        <f t="shared" si="378"/>
        <v>357.41</v>
      </c>
    </row>
    <row r="229" spans="1:14" x14ac:dyDescent="0.2">
      <c r="A229" s="394">
        <v>59252</v>
      </c>
      <c r="B229" s="91" t="s">
        <v>1948</v>
      </c>
      <c r="C229" s="93" t="s">
        <v>3</v>
      </c>
      <c r="D229" s="201">
        <f t="shared" si="379"/>
        <v>481.71000000000015</v>
      </c>
      <c r="E229" s="201">
        <f t="shared" si="376"/>
        <v>601.91999999999996</v>
      </c>
      <c r="F229" s="201">
        <f t="shared" si="377"/>
        <v>0</v>
      </c>
      <c r="H229" s="91" t="s">
        <v>99</v>
      </c>
      <c r="J229" s="384">
        <f>1083.63-K229</f>
        <v>481.71000000000015</v>
      </c>
      <c r="K229" s="384">
        <v>601.91999999999996</v>
      </c>
      <c r="L229" s="384"/>
      <c r="M229" s="293">
        <f t="shared" si="378"/>
        <v>1083.6300000000001</v>
      </c>
    </row>
    <row r="230" spans="1:14" x14ac:dyDescent="0.2">
      <c r="A230" s="394">
        <v>59448</v>
      </c>
      <c r="B230" s="91" t="s">
        <v>1949</v>
      </c>
      <c r="C230" s="93" t="s">
        <v>3</v>
      </c>
      <c r="D230" s="201">
        <f t="shared" si="379"/>
        <v>2.59</v>
      </c>
      <c r="E230" s="201">
        <f t="shared" si="376"/>
        <v>28.5</v>
      </c>
      <c r="F230" s="201">
        <f t="shared" si="377"/>
        <v>0</v>
      </c>
      <c r="H230" s="91" t="s">
        <v>99</v>
      </c>
      <c r="J230" s="384">
        <f>31.09-K230</f>
        <v>2.59</v>
      </c>
      <c r="K230" s="384">
        <v>28.5</v>
      </c>
      <c r="L230" s="384"/>
      <c r="M230" s="293">
        <f t="shared" si="378"/>
        <v>31.09</v>
      </c>
    </row>
    <row r="231" spans="1:14" x14ac:dyDescent="0.2">
      <c r="A231" s="394">
        <v>59251</v>
      </c>
      <c r="B231" s="91" t="s">
        <v>1950</v>
      </c>
      <c r="C231" s="93" t="s">
        <v>3</v>
      </c>
      <c r="D231" s="201">
        <f t="shared" si="379"/>
        <v>141.69</v>
      </c>
      <c r="E231" s="201">
        <f t="shared" si="376"/>
        <v>311.89999999999998</v>
      </c>
      <c r="F231" s="201">
        <f t="shared" si="377"/>
        <v>0</v>
      </c>
      <c r="H231" s="91" t="s">
        <v>99</v>
      </c>
      <c r="J231" s="384">
        <f>453.59-K231</f>
        <v>141.69</v>
      </c>
      <c r="K231" s="384">
        <v>311.89999999999998</v>
      </c>
      <c r="L231" s="384"/>
      <c r="M231" s="293">
        <f t="shared" si="378"/>
        <v>453.59</v>
      </c>
    </row>
    <row r="232" spans="1:14" ht="13.5" x14ac:dyDescent="0.25">
      <c r="A232" s="390">
        <v>61443</v>
      </c>
      <c r="B232" s="90" t="s">
        <v>1951</v>
      </c>
      <c r="C232" s="94" t="s">
        <v>3</v>
      </c>
      <c r="D232" s="92">
        <f>J232*$N$232</f>
        <v>20.731557000000002</v>
      </c>
      <c r="E232" s="92">
        <f>K232*$N$232</f>
        <v>40.898989999999998</v>
      </c>
      <c r="F232" s="92">
        <f t="shared" si="377"/>
        <v>0</v>
      </c>
      <c r="H232" s="91" t="s">
        <v>99</v>
      </c>
      <c r="J232" s="95">
        <f>48.07-K232</f>
        <v>16.170000000000002</v>
      </c>
      <c r="K232" s="95">
        <v>31.9</v>
      </c>
      <c r="L232" s="95"/>
      <c r="M232" s="293">
        <f t="shared" si="378"/>
        <v>48.07</v>
      </c>
      <c r="N232" s="91">
        <v>1.2821</v>
      </c>
    </row>
    <row r="233" spans="1:14" x14ac:dyDescent="0.2">
      <c r="A233" s="394">
        <v>59565</v>
      </c>
      <c r="B233" s="91" t="s">
        <v>1952</v>
      </c>
      <c r="C233" s="93" t="s">
        <v>2</v>
      </c>
      <c r="D233" s="201">
        <f t="shared" si="379"/>
        <v>8.2899999999999991</v>
      </c>
      <c r="E233" s="201">
        <f t="shared" si="376"/>
        <v>23.32</v>
      </c>
      <c r="F233" s="201">
        <f t="shared" si="377"/>
        <v>0</v>
      </c>
      <c r="H233" s="91" t="s">
        <v>99</v>
      </c>
      <c r="J233" s="384">
        <f>31.61-K233</f>
        <v>8.2899999999999991</v>
      </c>
      <c r="K233" s="384">
        <v>23.32</v>
      </c>
      <c r="L233" s="384"/>
      <c r="M233" s="293">
        <f t="shared" si="378"/>
        <v>31.61</v>
      </c>
    </row>
    <row r="234" spans="1:14" x14ac:dyDescent="0.2">
      <c r="A234" s="394">
        <v>59566</v>
      </c>
      <c r="B234" s="91" t="s">
        <v>1953</v>
      </c>
      <c r="C234" s="93" t="s">
        <v>3</v>
      </c>
      <c r="D234" s="201">
        <f t="shared" si="379"/>
        <v>15.64</v>
      </c>
      <c r="E234" s="201">
        <f t="shared" si="376"/>
        <v>37.479999999999997</v>
      </c>
      <c r="F234" s="201">
        <f t="shared" si="377"/>
        <v>0</v>
      </c>
      <c r="H234" s="91" t="s">
        <v>99</v>
      </c>
      <c r="J234" s="384">
        <f>53.12-K234</f>
        <v>15.64</v>
      </c>
      <c r="K234" s="384">
        <v>37.479999999999997</v>
      </c>
      <c r="L234" s="384"/>
      <c r="M234" s="293">
        <f t="shared" si="378"/>
        <v>53.12</v>
      </c>
    </row>
    <row r="235" spans="1:14" x14ac:dyDescent="0.2">
      <c r="A235" s="394">
        <v>58561</v>
      </c>
      <c r="B235" s="91" t="s">
        <v>1954</v>
      </c>
      <c r="C235" s="93" t="s">
        <v>2</v>
      </c>
      <c r="D235" s="201">
        <f t="shared" si="379"/>
        <v>6.25</v>
      </c>
      <c r="E235" s="201">
        <f t="shared" si="376"/>
        <v>8.9700000000000006</v>
      </c>
      <c r="F235" s="201">
        <f t="shared" si="377"/>
        <v>0</v>
      </c>
      <c r="H235" s="91" t="s">
        <v>99</v>
      </c>
      <c r="J235" s="384">
        <f>15.22-K235</f>
        <v>6.25</v>
      </c>
      <c r="K235" s="384">
        <v>8.9700000000000006</v>
      </c>
      <c r="L235" s="384"/>
      <c r="M235" s="293">
        <f t="shared" si="378"/>
        <v>15.22</v>
      </c>
    </row>
    <row r="236" spans="1:14" x14ac:dyDescent="0.2">
      <c r="A236" s="394">
        <v>63378</v>
      </c>
      <c r="B236" s="91" t="s">
        <v>1955</v>
      </c>
      <c r="C236" s="93" t="s">
        <v>2</v>
      </c>
      <c r="D236" s="201">
        <f t="shared" si="379"/>
        <v>5.78</v>
      </c>
      <c r="E236" s="201">
        <f t="shared" si="376"/>
        <v>4.9400000000000004</v>
      </c>
      <c r="F236" s="201">
        <f t="shared" si="377"/>
        <v>0</v>
      </c>
      <c r="H236" s="91" t="s">
        <v>99</v>
      </c>
      <c r="J236" s="384">
        <f>10.72-K236</f>
        <v>5.78</v>
      </c>
      <c r="K236" s="384">
        <v>4.9400000000000004</v>
      </c>
      <c r="L236" s="384"/>
      <c r="M236" s="293">
        <f t="shared" si="378"/>
        <v>10.72</v>
      </c>
    </row>
    <row r="237" spans="1:14" x14ac:dyDescent="0.2">
      <c r="A237" s="394">
        <v>61875</v>
      </c>
      <c r="B237" s="91" t="s">
        <v>2116</v>
      </c>
      <c r="C237" s="93" t="s">
        <v>3</v>
      </c>
      <c r="D237" s="201">
        <f t="shared" si="379"/>
        <v>45.96</v>
      </c>
      <c r="E237" s="201">
        <f t="shared" si="376"/>
        <v>97.789999999999992</v>
      </c>
      <c r="F237" s="201">
        <f t="shared" si="377"/>
        <v>0</v>
      </c>
      <c r="H237" s="91" t="s">
        <v>99</v>
      </c>
      <c r="J237" s="384">
        <f>12.67+8.96+24.33</f>
        <v>45.96</v>
      </c>
      <c r="K237" s="384">
        <f>143.75-J237</f>
        <v>97.789999999999992</v>
      </c>
      <c r="L237" s="384"/>
      <c r="M237" s="293">
        <f t="shared" si="378"/>
        <v>143.75</v>
      </c>
    </row>
    <row r="238" spans="1:14" x14ac:dyDescent="0.2">
      <c r="A238" s="394">
        <v>61860</v>
      </c>
      <c r="B238" s="91" t="s">
        <v>2117</v>
      </c>
      <c r="C238" s="93" t="s">
        <v>3</v>
      </c>
      <c r="D238" s="201">
        <f t="shared" si="379"/>
        <v>25.479999999999997</v>
      </c>
      <c r="E238" s="201">
        <f t="shared" si="376"/>
        <v>37.770000000000003</v>
      </c>
      <c r="F238" s="201">
        <f t="shared" si="377"/>
        <v>0</v>
      </c>
      <c r="H238" s="91" t="s">
        <v>99</v>
      </c>
      <c r="J238" s="384">
        <f>7.02+4.97+13.49</f>
        <v>25.479999999999997</v>
      </c>
      <c r="K238" s="384">
        <f>63.25-J238</f>
        <v>37.770000000000003</v>
      </c>
      <c r="L238" s="384"/>
      <c r="M238" s="293">
        <f t="shared" si="378"/>
        <v>63.25</v>
      </c>
    </row>
    <row r="239" spans="1:14" x14ac:dyDescent="0.2">
      <c r="A239" s="394">
        <v>59319</v>
      </c>
      <c r="B239" s="91" t="s">
        <v>2286</v>
      </c>
      <c r="C239" s="93" t="s">
        <v>3</v>
      </c>
      <c r="D239" s="201">
        <f t="shared" ref="D239:D240" si="380">J239*$J$3</f>
        <v>24.929999999999382</v>
      </c>
      <c r="E239" s="201">
        <f t="shared" ref="E239:E240" si="381">K239*$J$3</f>
        <v>4474.72</v>
      </c>
      <c r="F239" s="201">
        <f t="shared" ref="F239" si="382">L239*$J$3</f>
        <v>0</v>
      </c>
      <c r="H239" s="91" t="s">
        <v>99</v>
      </c>
      <c r="J239" s="384">
        <f>4499.65-K239</f>
        <v>24.929999999999382</v>
      </c>
      <c r="K239" s="384">
        <v>4474.72</v>
      </c>
      <c r="L239" s="384"/>
      <c r="M239" s="293">
        <f t="shared" ref="M239:M240" si="383">SUM(J239:L239)</f>
        <v>4499.6499999999996</v>
      </c>
    </row>
    <row r="240" spans="1:14" x14ac:dyDescent="0.2">
      <c r="A240" s="394">
        <v>55650</v>
      </c>
      <c r="B240" s="91" t="s">
        <v>2287</v>
      </c>
      <c r="C240" s="93" t="s">
        <v>3</v>
      </c>
      <c r="D240" s="201">
        <f t="shared" si="380"/>
        <v>34.660000000000004</v>
      </c>
      <c r="E240" s="201">
        <f t="shared" si="381"/>
        <v>47.02</v>
      </c>
      <c r="F240" s="201">
        <f t="shared" ref="F240" si="384">L240*$J$3</f>
        <v>0</v>
      </c>
      <c r="H240" s="91" t="s">
        <v>99</v>
      </c>
      <c r="J240" s="384">
        <f>81.68-K240</f>
        <v>34.660000000000004</v>
      </c>
      <c r="K240" s="384">
        <v>47.02</v>
      </c>
      <c r="L240" s="384"/>
      <c r="M240" s="293">
        <f t="shared" si="383"/>
        <v>81.680000000000007</v>
      </c>
    </row>
    <row r="242" spans="1:13" x14ac:dyDescent="0.2">
      <c r="A242" s="423" t="s">
        <v>133</v>
      </c>
      <c r="B242" s="423"/>
      <c r="C242" s="423"/>
      <c r="D242" s="423"/>
      <c r="E242" s="423"/>
      <c r="F242" s="423"/>
    </row>
    <row r="243" spans="1:13" x14ac:dyDescent="0.2">
      <c r="A243" s="393" t="s">
        <v>2291</v>
      </c>
      <c r="B243" s="380" t="s">
        <v>2292</v>
      </c>
      <c r="C243" s="93" t="s">
        <v>2</v>
      </c>
      <c r="D243" s="201">
        <f t="shared" ref="D243:D244" si="385">J243*$J$3</f>
        <v>8.3800000000000008</v>
      </c>
      <c r="E243" s="201">
        <f t="shared" ref="E243:E244" si="386">K243*$J$3</f>
        <v>33.68</v>
      </c>
      <c r="F243" s="201">
        <f t="shared" ref="F243:F244" si="387">L243*$J$3</f>
        <v>0</v>
      </c>
      <c r="H243" s="91" t="s">
        <v>133</v>
      </c>
      <c r="J243" s="91">
        <v>8.3800000000000008</v>
      </c>
      <c r="K243" s="91">
        <v>33.68</v>
      </c>
      <c r="M243" s="293">
        <f t="shared" ref="M243:M244" si="388">SUM(J243:L243)</f>
        <v>42.06</v>
      </c>
    </row>
    <row r="244" spans="1:13" x14ac:dyDescent="0.2">
      <c r="A244" s="393" t="s">
        <v>2303</v>
      </c>
      <c r="B244" s="380" t="s">
        <v>2304</v>
      </c>
      <c r="C244" s="93" t="s">
        <v>3</v>
      </c>
      <c r="D244" s="201">
        <f t="shared" si="385"/>
        <v>39.270000000000003</v>
      </c>
      <c r="E244" s="201">
        <f t="shared" si="386"/>
        <v>430.24</v>
      </c>
      <c r="F244" s="201">
        <f t="shared" si="387"/>
        <v>0</v>
      </c>
      <c r="H244" s="91" t="s">
        <v>133</v>
      </c>
      <c r="J244" s="91">
        <v>39.270000000000003</v>
      </c>
      <c r="K244" s="91">
        <v>430.24</v>
      </c>
      <c r="M244" s="293">
        <f t="shared" si="388"/>
        <v>469.51</v>
      </c>
    </row>
    <row r="245" spans="1:13" x14ac:dyDescent="0.2">
      <c r="A245" s="393" t="s">
        <v>2289</v>
      </c>
      <c r="B245" s="380" t="s">
        <v>2290</v>
      </c>
      <c r="C245" s="93" t="s">
        <v>3</v>
      </c>
      <c r="D245" s="201">
        <f t="shared" ref="D245" si="389">J245*$J$3</f>
        <v>223.32</v>
      </c>
      <c r="E245" s="201">
        <f t="shared" ref="E245" si="390">K245*$J$3</f>
        <v>1072.5899999999999</v>
      </c>
      <c r="F245" s="201">
        <f t="shared" ref="F245" si="391">L245*$J$3</f>
        <v>0</v>
      </c>
      <c r="H245" s="91" t="s">
        <v>133</v>
      </c>
      <c r="J245" s="91">
        <v>223.32</v>
      </c>
      <c r="K245" s="91">
        <v>1072.5899999999999</v>
      </c>
      <c r="M245" s="293">
        <f t="shared" ref="M245" si="392">SUM(J245:L245)</f>
        <v>1295.9099999999999</v>
      </c>
    </row>
    <row r="246" spans="1:13" x14ac:dyDescent="0.2">
      <c r="A246" s="393" t="s">
        <v>2301</v>
      </c>
      <c r="B246" s="380" t="s">
        <v>2302</v>
      </c>
      <c r="C246" s="93" t="s">
        <v>3</v>
      </c>
      <c r="D246" s="201">
        <f t="shared" ref="D246" si="393">J246*$J$3</f>
        <v>44.67</v>
      </c>
      <c r="E246" s="201">
        <f t="shared" ref="E246" si="394">K246*$J$3</f>
        <v>627.65</v>
      </c>
      <c r="F246" s="201">
        <f t="shared" ref="F246" si="395">L246*$J$3</f>
        <v>0</v>
      </c>
      <c r="H246" s="91" t="s">
        <v>133</v>
      </c>
      <c r="J246" s="91">
        <v>44.67</v>
      </c>
      <c r="K246" s="91">
        <v>627.65</v>
      </c>
      <c r="M246" s="293">
        <f t="shared" ref="M246:M250" si="396">SUM(J246:L246)</f>
        <v>672.31999999999994</v>
      </c>
    </row>
    <row r="247" spans="1:13" ht="25.5" x14ac:dyDescent="0.2">
      <c r="A247" s="393" t="s">
        <v>2345</v>
      </c>
      <c r="B247" s="388" t="s">
        <v>2346</v>
      </c>
      <c r="C247" s="93" t="s">
        <v>2</v>
      </c>
      <c r="D247" s="201">
        <f t="shared" ref="D247" si="397">J247*$J$3</f>
        <v>0</v>
      </c>
      <c r="E247" s="201">
        <f t="shared" ref="E247" si="398">K247*$J$3</f>
        <v>594</v>
      </c>
      <c r="F247" s="201">
        <f t="shared" ref="F247" si="399">L247*$J$3</f>
        <v>0</v>
      </c>
      <c r="H247" s="91" t="s">
        <v>133</v>
      </c>
      <c r="K247" s="91">
        <v>594</v>
      </c>
      <c r="M247" s="293">
        <f t="shared" si="396"/>
        <v>594</v>
      </c>
    </row>
    <row r="248" spans="1:13" x14ac:dyDescent="0.2">
      <c r="A248" s="393" t="s">
        <v>2348</v>
      </c>
      <c r="B248" s="388" t="s">
        <v>2349</v>
      </c>
      <c r="C248" s="93" t="s">
        <v>2</v>
      </c>
      <c r="D248" s="201">
        <f t="shared" ref="D248:D250" si="400">J248*$J$3</f>
        <v>18.420000000000002</v>
      </c>
      <c r="E248" s="201">
        <f t="shared" ref="E248:E250" si="401">K248*$J$3</f>
        <v>80.150000000000006</v>
      </c>
      <c r="F248" s="201">
        <f t="shared" ref="F248:F250" si="402">L248*$J$3</f>
        <v>0</v>
      </c>
      <c r="H248" s="91" t="s">
        <v>133</v>
      </c>
      <c r="J248" s="91">
        <v>18.420000000000002</v>
      </c>
      <c r="K248" s="91">
        <v>80.150000000000006</v>
      </c>
      <c r="M248" s="293">
        <f t="shared" si="396"/>
        <v>98.570000000000007</v>
      </c>
    </row>
    <row r="249" spans="1:13" x14ac:dyDescent="0.2">
      <c r="A249" s="393" t="s">
        <v>2350</v>
      </c>
      <c r="B249" s="388" t="s">
        <v>2351</v>
      </c>
      <c r="C249" s="93" t="s">
        <v>2</v>
      </c>
      <c r="D249" s="201">
        <f t="shared" si="400"/>
        <v>20.100000000000001</v>
      </c>
      <c r="E249" s="201">
        <f t="shared" si="401"/>
        <v>119.52</v>
      </c>
      <c r="F249" s="201">
        <f t="shared" si="402"/>
        <v>0</v>
      </c>
      <c r="H249" s="91" t="s">
        <v>133</v>
      </c>
      <c r="J249" s="91">
        <v>20.100000000000001</v>
      </c>
      <c r="K249" s="91">
        <v>119.52</v>
      </c>
      <c r="M249" s="293">
        <f t="shared" si="396"/>
        <v>139.62</v>
      </c>
    </row>
    <row r="250" spans="1:13" x14ac:dyDescent="0.2">
      <c r="A250" s="393" t="s">
        <v>2352</v>
      </c>
      <c r="B250" s="388" t="s">
        <v>2353</v>
      </c>
      <c r="C250" s="93" t="s">
        <v>2</v>
      </c>
      <c r="D250" s="201">
        <f t="shared" si="400"/>
        <v>25.12</v>
      </c>
      <c r="E250" s="201">
        <f t="shared" si="401"/>
        <v>147.13</v>
      </c>
      <c r="F250" s="201">
        <f t="shared" si="402"/>
        <v>0</v>
      </c>
      <c r="H250" s="91" t="s">
        <v>133</v>
      </c>
      <c r="J250" s="91">
        <v>25.12</v>
      </c>
      <c r="K250" s="91">
        <v>147.13</v>
      </c>
      <c r="M250" s="293">
        <f t="shared" si="396"/>
        <v>172.25</v>
      </c>
    </row>
    <row r="251" spans="1:13" x14ac:dyDescent="0.2">
      <c r="A251" s="393" t="s">
        <v>2354</v>
      </c>
      <c r="B251" s="388" t="s">
        <v>2355</v>
      </c>
      <c r="C251" s="93" t="s">
        <v>57</v>
      </c>
      <c r="D251" s="201">
        <f t="shared" ref="D251" si="403">J251*$J$3</f>
        <v>44.61</v>
      </c>
      <c r="E251" s="201">
        <f t="shared" ref="E251" si="404">K251*$J$3</f>
        <v>65.45</v>
      </c>
      <c r="F251" s="201">
        <f t="shared" ref="F251" si="405">L251*$J$3</f>
        <v>0</v>
      </c>
      <c r="H251" s="91" t="s">
        <v>133</v>
      </c>
      <c r="J251" s="91">
        <v>44.61</v>
      </c>
      <c r="K251" s="91">
        <v>65.45</v>
      </c>
      <c r="M251" s="293">
        <f t="shared" ref="M251" si="406">SUM(J251:L251)</f>
        <v>110.06</v>
      </c>
    </row>
    <row r="252" spans="1:13" x14ac:dyDescent="0.2">
      <c r="A252" s="393" t="s">
        <v>2356</v>
      </c>
      <c r="B252" s="388" t="s">
        <v>2357</v>
      </c>
      <c r="C252" s="93" t="s">
        <v>57</v>
      </c>
      <c r="D252" s="201">
        <f t="shared" ref="D252" si="407">J252*$J$3</f>
        <v>70.489999999999995</v>
      </c>
      <c r="E252" s="201">
        <f t="shared" ref="E252" si="408">K252*$J$3</f>
        <v>129.09</v>
      </c>
      <c r="F252" s="201">
        <f t="shared" ref="F252" si="409">L252*$J$3</f>
        <v>0</v>
      </c>
      <c r="H252" s="91" t="s">
        <v>133</v>
      </c>
      <c r="J252" s="91">
        <v>70.489999999999995</v>
      </c>
      <c r="K252" s="91">
        <v>129.09</v>
      </c>
      <c r="M252" s="293">
        <f t="shared" ref="M252" si="410">SUM(J252:L252)</f>
        <v>199.57999999999998</v>
      </c>
    </row>
    <row r="254" spans="1:13" x14ac:dyDescent="0.2">
      <c r="A254" s="423" t="s">
        <v>1821</v>
      </c>
      <c r="B254" s="423"/>
      <c r="C254" s="423"/>
      <c r="D254" s="423"/>
      <c r="E254" s="423"/>
      <c r="F254" s="423"/>
    </row>
    <row r="255" spans="1:13" x14ac:dyDescent="0.2">
      <c r="A255" s="387" t="s">
        <v>2332</v>
      </c>
      <c r="B255" s="91" t="s">
        <v>2293</v>
      </c>
      <c r="C255" s="93" t="s">
        <v>3</v>
      </c>
      <c r="D255" s="201">
        <f t="shared" ref="D255:D256" si="411">J255*$J$3</f>
        <v>0</v>
      </c>
      <c r="E255" s="201">
        <f t="shared" ref="E255:E256" si="412">K255*$J$3</f>
        <v>12.99</v>
      </c>
      <c r="F255" s="201">
        <f t="shared" ref="F255:F256" si="413">L255*$J$3</f>
        <v>0</v>
      </c>
      <c r="H255" s="91" t="s">
        <v>1821</v>
      </c>
      <c r="K255" s="91">
        <v>12.99</v>
      </c>
      <c r="M255" s="293">
        <v>15.58</v>
      </c>
    </row>
    <row r="256" spans="1:13" x14ac:dyDescent="0.2">
      <c r="A256" s="387" t="s">
        <v>2333</v>
      </c>
      <c r="B256" s="91" t="s">
        <v>2294</v>
      </c>
      <c r="C256" s="93" t="s">
        <v>3</v>
      </c>
      <c r="D256" s="201">
        <f t="shared" si="411"/>
        <v>0</v>
      </c>
      <c r="E256" s="201">
        <f t="shared" si="412"/>
        <v>18.78</v>
      </c>
      <c r="F256" s="201">
        <f t="shared" si="413"/>
        <v>0</v>
      </c>
      <c r="H256" s="91" t="s">
        <v>1821</v>
      </c>
      <c r="K256" s="91">
        <v>18.78</v>
      </c>
      <c r="M256" s="293">
        <v>26.7</v>
      </c>
    </row>
    <row r="257" spans="1:13" x14ac:dyDescent="0.2">
      <c r="A257" s="387" t="s">
        <v>2334</v>
      </c>
      <c r="B257" s="91" t="s">
        <v>2305</v>
      </c>
      <c r="C257" s="93" t="s">
        <v>3</v>
      </c>
      <c r="D257" s="201">
        <f t="shared" ref="D257" si="414">J257*$J$3</f>
        <v>519.37</v>
      </c>
      <c r="E257" s="201">
        <f t="shared" ref="E257" si="415">K257*$J$3</f>
        <v>9092.33</v>
      </c>
      <c r="F257" s="201">
        <f t="shared" ref="F257" si="416">L257*$J$3</f>
        <v>0</v>
      </c>
      <c r="H257" s="91" t="s">
        <v>1821</v>
      </c>
      <c r="J257" s="91">
        <v>519.37</v>
      </c>
      <c r="K257" s="91">
        <v>9092.33</v>
      </c>
      <c r="M257" s="293">
        <f t="shared" ref="M257" si="417">SUM(J257:L257)</f>
        <v>9611.7000000000007</v>
      </c>
    </row>
    <row r="259" spans="1:13" x14ac:dyDescent="0.2">
      <c r="A259" s="423" t="s">
        <v>63</v>
      </c>
      <c r="B259" s="423"/>
      <c r="C259" s="423"/>
      <c r="D259" s="423"/>
      <c r="E259" s="423"/>
      <c r="F259" s="423"/>
    </row>
    <row r="260" spans="1:13" x14ac:dyDescent="0.2">
      <c r="A260" s="393" t="s">
        <v>1155</v>
      </c>
      <c r="B260" s="91" t="s">
        <v>1156</v>
      </c>
      <c r="C260" s="93" t="s">
        <v>3</v>
      </c>
      <c r="E260" s="91">
        <v>1081.3399999999999</v>
      </c>
      <c r="H260" s="91" t="s">
        <v>1157</v>
      </c>
    </row>
    <row r="262" spans="1:13" x14ac:dyDescent="0.2">
      <c r="A262" s="423" t="s">
        <v>142</v>
      </c>
      <c r="B262" s="423"/>
      <c r="C262" s="423"/>
      <c r="D262" s="423"/>
      <c r="E262" s="423"/>
      <c r="F262" s="423"/>
    </row>
    <row r="263" spans="1:13" x14ac:dyDescent="0.2">
      <c r="A263" s="394">
        <v>30586</v>
      </c>
      <c r="B263" s="91" t="s">
        <v>1158</v>
      </c>
      <c r="C263" s="93" t="s">
        <v>48</v>
      </c>
      <c r="F263" s="91">
        <v>135</v>
      </c>
      <c r="H263" s="91" t="s">
        <v>2258</v>
      </c>
    </row>
    <row r="264" spans="1:13" x14ac:dyDescent="0.2">
      <c r="A264" s="394">
        <v>34512</v>
      </c>
      <c r="B264" s="91" t="s">
        <v>1163</v>
      </c>
      <c r="C264" s="93" t="s">
        <v>57</v>
      </c>
      <c r="E264" s="91">
        <v>88.02</v>
      </c>
      <c r="H264" s="91" t="s">
        <v>2258</v>
      </c>
    </row>
    <row r="266" spans="1:13" x14ac:dyDescent="0.2">
      <c r="A266" s="423" t="s">
        <v>109</v>
      </c>
      <c r="B266" s="423"/>
      <c r="C266" s="423"/>
      <c r="D266" s="423"/>
      <c r="E266" s="423"/>
      <c r="F266" s="423"/>
    </row>
    <row r="267" spans="1:13" ht="13.5" x14ac:dyDescent="0.25">
      <c r="A267" s="94" t="s">
        <v>91</v>
      </c>
      <c r="B267" s="94" t="s">
        <v>83</v>
      </c>
      <c r="C267" s="94" t="s">
        <v>30</v>
      </c>
      <c r="D267" s="94" t="s">
        <v>79</v>
      </c>
      <c r="E267" s="94" t="s">
        <v>92</v>
      </c>
      <c r="F267" s="98" t="s">
        <v>93</v>
      </c>
      <c r="H267" s="94" t="s">
        <v>86</v>
      </c>
      <c r="I267" s="94"/>
      <c r="J267" s="97" t="s">
        <v>88</v>
      </c>
      <c r="K267" s="97" t="s">
        <v>89</v>
      </c>
      <c r="L267" s="97" t="s">
        <v>90</v>
      </c>
      <c r="M267" s="95">
        <f t="shared" si="336"/>
        <v>0</v>
      </c>
    </row>
    <row r="268" spans="1:13" x14ac:dyDescent="0.2">
      <c r="A268" s="91" t="s">
        <v>132</v>
      </c>
      <c r="B268" s="91" t="s">
        <v>134</v>
      </c>
      <c r="C268" s="93" t="s">
        <v>3</v>
      </c>
      <c r="D268" s="201">
        <f>J268*$J$1</f>
        <v>5490.01</v>
      </c>
      <c r="E268" s="201">
        <f t="shared" ref="E268:F268" si="418">K268*$J$1</f>
        <v>196.55</v>
      </c>
      <c r="F268" s="201">
        <f t="shared" si="418"/>
        <v>0</v>
      </c>
      <c r="H268" s="91" t="s">
        <v>108</v>
      </c>
      <c r="J268" s="201">
        <f>VLOOKUP(A268,CPU!$A$5:$M$11251,11,FALSE)</f>
        <v>5490.01</v>
      </c>
      <c r="K268" s="201">
        <f>VLOOKUP(A268,CPU!$A$5:$M$11251,12,FALSE)</f>
        <v>196.55</v>
      </c>
      <c r="L268" s="201">
        <f>VLOOKUP(A268,CPU!$A$5:$M$11251,13,FALSE)</f>
        <v>0</v>
      </c>
      <c r="M268" s="95">
        <f t="shared" ref="M268:M305" si="419">SUM(J268:L268)</f>
        <v>5686.56</v>
      </c>
    </row>
    <row r="269" spans="1:13" x14ac:dyDescent="0.2">
      <c r="A269" s="91" t="s">
        <v>1165</v>
      </c>
      <c r="B269" s="91" t="s">
        <v>1166</v>
      </c>
      <c r="C269" s="93" t="s">
        <v>57</v>
      </c>
      <c r="D269" s="201">
        <f>J269*$J$1</f>
        <v>57.129999999999995</v>
      </c>
      <c r="E269" s="201">
        <f t="shared" ref="E269" si="420">K269*$J$1</f>
        <v>134.69</v>
      </c>
      <c r="F269" s="201">
        <f t="shared" ref="F269" si="421">L269*$J$1</f>
        <v>0</v>
      </c>
      <c r="H269" s="91" t="s">
        <v>108</v>
      </c>
      <c r="J269" s="91">
        <f>VLOOKUP(A269,CPU!$A$5:$M$11251,11,FALSE)</f>
        <v>57.129999999999995</v>
      </c>
      <c r="K269" s="91">
        <f>VLOOKUP(A269,CPU!$A$5:$M$11251,12,FALSE)</f>
        <v>134.69</v>
      </c>
      <c r="L269" s="91">
        <f>VLOOKUP(A269,CPU!$A$5:$M$11251,13,FALSE)</f>
        <v>0</v>
      </c>
      <c r="M269" s="95">
        <f t="shared" si="419"/>
        <v>191.82</v>
      </c>
    </row>
    <row r="270" spans="1:13" x14ac:dyDescent="0.2">
      <c r="A270" s="91" t="s">
        <v>1167</v>
      </c>
      <c r="B270" s="91" t="s">
        <v>1168</v>
      </c>
      <c r="C270" s="93" t="s">
        <v>57</v>
      </c>
      <c r="D270" s="201">
        <f>J270*$J$1</f>
        <v>57.129999999999995</v>
      </c>
      <c r="E270" s="201">
        <f t="shared" ref="E270" si="422">K270*$J$1</f>
        <v>169.38</v>
      </c>
      <c r="F270" s="201">
        <f t="shared" ref="F270" si="423">L270*$J$1</f>
        <v>0</v>
      </c>
      <c r="H270" s="91" t="s">
        <v>108</v>
      </c>
      <c r="J270" s="91">
        <f>VLOOKUP(A270,CPU!$A$5:$M$11251,11,FALSE)</f>
        <v>57.129999999999995</v>
      </c>
      <c r="K270" s="91">
        <f>VLOOKUP(A270,CPU!$A$5:$M$11251,12,FALSE)</f>
        <v>169.38</v>
      </c>
      <c r="L270" s="91">
        <f>VLOOKUP(A270,CPU!$A$5:$M$11251,13,FALSE)</f>
        <v>0</v>
      </c>
      <c r="M270" s="95">
        <f t="shared" si="419"/>
        <v>226.51</v>
      </c>
    </row>
    <row r="271" spans="1:13" x14ac:dyDescent="0.2">
      <c r="A271" s="91" t="s">
        <v>1169</v>
      </c>
      <c r="B271" s="91" t="s">
        <v>1171</v>
      </c>
      <c r="C271" s="93" t="s">
        <v>2</v>
      </c>
      <c r="D271" s="201">
        <f t="shared" ref="D271:D272" si="424">J271*$J$1</f>
        <v>0</v>
      </c>
      <c r="E271" s="201">
        <f t="shared" ref="E271:E272" si="425">K271*$J$1</f>
        <v>37.26</v>
      </c>
      <c r="F271" s="201">
        <f t="shared" ref="F271:F272" si="426">L271*$J$1</f>
        <v>0</v>
      </c>
      <c r="H271" s="91" t="s">
        <v>108</v>
      </c>
      <c r="J271" s="91">
        <f>VLOOKUP(A271,CPU!$A$5:$M$11251,11,FALSE)</f>
        <v>0</v>
      </c>
      <c r="K271" s="91">
        <f>VLOOKUP(A271,CPU!$A$5:$M$11251,12,FALSE)</f>
        <v>37.26</v>
      </c>
      <c r="L271" s="91">
        <f>VLOOKUP(A271,CPU!$A$5:$M$11251,13,FALSE)</f>
        <v>0</v>
      </c>
      <c r="M271" s="95">
        <f t="shared" si="419"/>
        <v>37.26</v>
      </c>
    </row>
    <row r="272" spans="1:13" x14ac:dyDescent="0.2">
      <c r="A272" s="91" t="s">
        <v>1170</v>
      </c>
      <c r="B272" s="91" t="s">
        <v>1172</v>
      </c>
      <c r="C272" s="93" t="s">
        <v>2</v>
      </c>
      <c r="D272" s="201">
        <f t="shared" si="424"/>
        <v>0</v>
      </c>
      <c r="E272" s="201">
        <f t="shared" si="425"/>
        <v>59.6</v>
      </c>
      <c r="F272" s="201">
        <f t="shared" si="426"/>
        <v>0</v>
      </c>
      <c r="H272" s="91" t="s">
        <v>108</v>
      </c>
      <c r="J272" s="91">
        <f>VLOOKUP(A272,CPU!$A$5:$M$11251,11,FALSE)</f>
        <v>0</v>
      </c>
      <c r="K272" s="91">
        <f>VLOOKUP(A272,CPU!$A$5:$M$11251,12,FALSE)</f>
        <v>59.6</v>
      </c>
      <c r="L272" s="91">
        <f>VLOOKUP(A272,CPU!$A$5:$M$11251,13,FALSE)</f>
        <v>0</v>
      </c>
      <c r="M272" s="95">
        <f t="shared" si="419"/>
        <v>59.6</v>
      </c>
    </row>
    <row r="273" spans="1:13" x14ac:dyDescent="0.2">
      <c r="A273" s="91" t="s">
        <v>1197</v>
      </c>
      <c r="B273" s="91" t="s">
        <v>1203</v>
      </c>
      <c r="C273" s="93" t="s">
        <v>57</v>
      </c>
      <c r="D273" s="201">
        <f t="shared" ref="D273:D276" si="427">J273*$J$1</f>
        <v>25.54</v>
      </c>
      <c r="E273" s="201">
        <f t="shared" ref="E273:E276" si="428">K273*$J$1</f>
        <v>135.32999999999998</v>
      </c>
      <c r="F273" s="201">
        <f t="shared" ref="F273:F276" si="429">L273*$J$1</f>
        <v>0</v>
      </c>
      <c r="H273" s="91" t="s">
        <v>108</v>
      </c>
      <c r="J273" s="91">
        <f>VLOOKUP(A273,CPU!$A$5:$M$11251,11,FALSE)</f>
        <v>25.54</v>
      </c>
      <c r="K273" s="91">
        <f>VLOOKUP(A273,CPU!$A$5:$M$11251,12,FALSE)</f>
        <v>135.32999999999998</v>
      </c>
      <c r="L273" s="91">
        <f>VLOOKUP(A273,CPU!$A$5:$M$11251,13,FALSE)</f>
        <v>0</v>
      </c>
      <c r="M273" s="95">
        <f t="shared" si="419"/>
        <v>160.86999999999998</v>
      </c>
    </row>
    <row r="274" spans="1:13" x14ac:dyDescent="0.2">
      <c r="A274" s="91" t="s">
        <v>1198</v>
      </c>
      <c r="B274" s="91" t="s">
        <v>1211</v>
      </c>
      <c r="C274" s="93" t="s">
        <v>57</v>
      </c>
      <c r="D274" s="201">
        <f t="shared" si="427"/>
        <v>39.090000000000003</v>
      </c>
      <c r="E274" s="201">
        <f t="shared" si="428"/>
        <v>136.38999999999999</v>
      </c>
      <c r="F274" s="201">
        <f t="shared" si="429"/>
        <v>0</v>
      </c>
      <c r="H274" s="91" t="s">
        <v>108</v>
      </c>
      <c r="J274" s="91">
        <f>VLOOKUP(A274,CPU!$A$5:$M$11251,11,FALSE)</f>
        <v>39.090000000000003</v>
      </c>
      <c r="K274" s="91">
        <f>VLOOKUP(A274,CPU!$A$5:$M$11251,12,FALSE)</f>
        <v>136.38999999999999</v>
      </c>
      <c r="L274" s="91">
        <f>VLOOKUP(A274,CPU!$A$5:$M$11251,13,FALSE)</f>
        <v>0</v>
      </c>
      <c r="M274" s="95">
        <f t="shared" si="419"/>
        <v>175.48</v>
      </c>
    </row>
    <row r="275" spans="1:13" x14ac:dyDescent="0.2">
      <c r="A275" s="91" t="s">
        <v>1199</v>
      </c>
      <c r="B275" s="91" t="s">
        <v>1212</v>
      </c>
      <c r="C275" s="93" t="s">
        <v>57</v>
      </c>
      <c r="D275" s="201">
        <f t="shared" si="427"/>
        <v>57.940000000000005</v>
      </c>
      <c r="E275" s="201">
        <f t="shared" si="428"/>
        <v>140.62</v>
      </c>
      <c r="F275" s="201">
        <f t="shared" si="429"/>
        <v>0</v>
      </c>
      <c r="H275" s="91" t="s">
        <v>108</v>
      </c>
      <c r="J275" s="91">
        <f>VLOOKUP(A275,CPU!$A$5:$M$11251,11,FALSE)</f>
        <v>57.940000000000005</v>
      </c>
      <c r="K275" s="91">
        <f>VLOOKUP(A275,CPU!$A$5:$M$11251,12,FALSE)</f>
        <v>140.62</v>
      </c>
      <c r="L275" s="91">
        <f>VLOOKUP(A275,CPU!$A$5:$M$11251,13,FALSE)</f>
        <v>0</v>
      </c>
      <c r="M275" s="95">
        <f t="shared" si="419"/>
        <v>198.56</v>
      </c>
    </row>
    <row r="276" spans="1:13" x14ac:dyDescent="0.2">
      <c r="A276" s="91" t="s">
        <v>1204</v>
      </c>
      <c r="B276" s="91" t="s">
        <v>1200</v>
      </c>
      <c r="C276" s="93" t="s">
        <v>2</v>
      </c>
      <c r="D276" s="201">
        <f t="shared" si="427"/>
        <v>4.6899999999999995</v>
      </c>
      <c r="E276" s="201">
        <f t="shared" si="428"/>
        <v>24.25</v>
      </c>
      <c r="F276" s="201">
        <f t="shared" si="429"/>
        <v>0</v>
      </c>
      <c r="H276" s="91" t="s">
        <v>108</v>
      </c>
      <c r="J276" s="91">
        <f>VLOOKUP(A276,CPU!$A$5:$M$11251,11,FALSE)</f>
        <v>4.6899999999999995</v>
      </c>
      <c r="K276" s="91">
        <f>VLOOKUP(A276,CPU!$A$5:$M$11251,12,FALSE)</f>
        <v>24.25</v>
      </c>
      <c r="L276" s="91">
        <f>VLOOKUP(A276,CPU!$A$5:$M$11251,13,FALSE)</f>
        <v>0</v>
      </c>
      <c r="M276" s="95">
        <f t="shared" si="419"/>
        <v>28.939999999999998</v>
      </c>
    </row>
    <row r="277" spans="1:13" x14ac:dyDescent="0.2">
      <c r="A277" s="91" t="s">
        <v>1205</v>
      </c>
      <c r="B277" s="91" t="e">
        <f>#REF!</f>
        <v>#REF!</v>
      </c>
      <c r="C277" s="93" t="e">
        <f>#REF!</f>
        <v>#REF!</v>
      </c>
      <c r="D277" s="201">
        <f t="shared" ref="D277:D293" si="430">J277*$J$1</f>
        <v>3.9</v>
      </c>
      <c r="E277" s="201">
        <f t="shared" ref="E277:E293" si="431">K277*$J$1</f>
        <v>1145.1600000000001</v>
      </c>
      <c r="F277" s="201">
        <f t="shared" ref="F277:F293" si="432">L277*$J$1</f>
        <v>0</v>
      </c>
      <c r="H277" s="91" t="s">
        <v>108</v>
      </c>
      <c r="J277" s="91">
        <f>VLOOKUP(A277,CPU!$A$5:$M$11251,11,FALSE)</f>
        <v>3.9</v>
      </c>
      <c r="K277" s="91">
        <f>VLOOKUP(A277,CPU!$A$5:$M$11251,12,FALSE)</f>
        <v>1145.1600000000001</v>
      </c>
      <c r="L277" s="91">
        <f>VLOOKUP(A277,CPU!$A$5:$M$11251,13,FALSE)</f>
        <v>0</v>
      </c>
      <c r="M277" s="95">
        <f t="shared" si="419"/>
        <v>1149.0600000000002</v>
      </c>
    </row>
    <row r="278" spans="1:13" x14ac:dyDescent="0.2">
      <c r="A278" s="91" t="s">
        <v>1206</v>
      </c>
      <c r="B278" s="91" t="e">
        <f>#REF!</f>
        <v>#REF!</v>
      </c>
      <c r="C278" s="93" t="e">
        <f>#REF!</f>
        <v>#REF!</v>
      </c>
      <c r="D278" s="201">
        <f t="shared" si="430"/>
        <v>3.9</v>
      </c>
      <c r="E278" s="201">
        <f t="shared" si="431"/>
        <v>1222.9100000000001</v>
      </c>
      <c r="F278" s="201">
        <f t="shared" si="432"/>
        <v>0</v>
      </c>
      <c r="H278" s="91" t="s">
        <v>108</v>
      </c>
      <c r="J278" s="91">
        <f>VLOOKUP(A278,CPU!$A$5:$M$11251,11,FALSE)</f>
        <v>3.9</v>
      </c>
      <c r="K278" s="91">
        <f>VLOOKUP(A278,CPU!$A$5:$M$11251,12,FALSE)</f>
        <v>1222.9100000000001</v>
      </c>
      <c r="L278" s="91">
        <f>VLOOKUP(A278,CPU!$A$5:$M$11251,13,FALSE)</f>
        <v>0</v>
      </c>
      <c r="M278" s="95">
        <f t="shared" si="419"/>
        <v>1226.8100000000002</v>
      </c>
    </row>
    <row r="279" spans="1:13" x14ac:dyDescent="0.2">
      <c r="A279" s="91" t="s">
        <v>1207</v>
      </c>
      <c r="B279" s="91" t="e">
        <f>#REF!</f>
        <v>#REF!</v>
      </c>
      <c r="C279" s="93" t="e">
        <f>#REF!</f>
        <v>#REF!</v>
      </c>
      <c r="D279" s="201">
        <f t="shared" si="430"/>
        <v>0</v>
      </c>
      <c r="E279" s="201">
        <f t="shared" si="431"/>
        <v>267.11</v>
      </c>
      <c r="F279" s="201">
        <f t="shared" si="432"/>
        <v>0</v>
      </c>
      <c r="H279" s="91" t="s">
        <v>108</v>
      </c>
      <c r="J279" s="91">
        <f>VLOOKUP(A279,CPU!$A$5:$M$11251,11,FALSE)</f>
        <v>0</v>
      </c>
      <c r="K279" s="91">
        <f>VLOOKUP(A279,CPU!$A$5:$M$11251,12,FALSE)</f>
        <v>267.11</v>
      </c>
      <c r="L279" s="91">
        <f>VLOOKUP(A279,CPU!$A$5:$M$11251,13,FALSE)</f>
        <v>0</v>
      </c>
      <c r="M279" s="95">
        <f t="shared" si="419"/>
        <v>267.11</v>
      </c>
    </row>
    <row r="280" spans="1:13" x14ac:dyDescent="0.2">
      <c r="A280" s="91" t="s">
        <v>1208</v>
      </c>
      <c r="B280" s="91" t="e">
        <f>#REF!</f>
        <v>#REF!</v>
      </c>
      <c r="C280" s="93" t="e">
        <f>#REF!</f>
        <v>#REF!</v>
      </c>
      <c r="D280" s="201">
        <f t="shared" si="430"/>
        <v>0</v>
      </c>
      <c r="E280" s="201">
        <f t="shared" si="431"/>
        <v>281.39999999999998</v>
      </c>
      <c r="F280" s="201">
        <f t="shared" si="432"/>
        <v>0</v>
      </c>
      <c r="H280" s="91" t="s">
        <v>108</v>
      </c>
      <c r="J280" s="91">
        <f>VLOOKUP(A280,CPU!$A$5:$M$11251,11,FALSE)</f>
        <v>0</v>
      </c>
      <c r="K280" s="91">
        <f>VLOOKUP(A280,CPU!$A$5:$M$11251,12,FALSE)</f>
        <v>281.39999999999998</v>
      </c>
      <c r="L280" s="91">
        <f>VLOOKUP(A280,CPU!$A$5:$M$11251,13,FALSE)</f>
        <v>0</v>
      </c>
      <c r="M280" s="95">
        <f t="shared" si="419"/>
        <v>281.39999999999998</v>
      </c>
    </row>
    <row r="281" spans="1:13" x14ac:dyDescent="0.2">
      <c r="A281" s="91" t="s">
        <v>1209</v>
      </c>
      <c r="B281" s="91" t="e">
        <f>#REF!</f>
        <v>#REF!</v>
      </c>
      <c r="C281" s="93" t="e">
        <f>#REF!</f>
        <v>#REF!</v>
      </c>
      <c r="D281" s="201">
        <f t="shared" si="430"/>
        <v>4.82</v>
      </c>
      <c r="E281" s="201">
        <f t="shared" si="431"/>
        <v>155.6</v>
      </c>
      <c r="F281" s="201">
        <f t="shared" si="432"/>
        <v>0</v>
      </c>
      <c r="H281" s="91" t="s">
        <v>108</v>
      </c>
      <c r="J281" s="91">
        <f>VLOOKUP(A281,CPU!$A$5:$M$11251,11,FALSE)</f>
        <v>4.82</v>
      </c>
      <c r="K281" s="91">
        <f>VLOOKUP(A281,CPU!$A$5:$M$11251,12,FALSE)</f>
        <v>155.6</v>
      </c>
      <c r="L281" s="91">
        <f>VLOOKUP(A281,CPU!$A$5:$M$11251,13,FALSE)</f>
        <v>0</v>
      </c>
      <c r="M281" s="95">
        <f t="shared" si="419"/>
        <v>160.41999999999999</v>
      </c>
    </row>
    <row r="282" spans="1:13" x14ac:dyDescent="0.2">
      <c r="A282" s="91" t="s">
        <v>1210</v>
      </c>
      <c r="B282" s="91" t="e">
        <f>#REF!</f>
        <v>#REF!</v>
      </c>
      <c r="C282" s="93" t="e">
        <f>#REF!</f>
        <v>#REF!</v>
      </c>
      <c r="D282" s="201">
        <f t="shared" si="430"/>
        <v>4.82</v>
      </c>
      <c r="E282" s="201">
        <f t="shared" si="431"/>
        <v>166.25</v>
      </c>
      <c r="F282" s="201">
        <f t="shared" si="432"/>
        <v>0</v>
      </c>
      <c r="H282" s="91" t="s">
        <v>108</v>
      </c>
      <c r="J282" s="91">
        <f>VLOOKUP(A282,CPU!$A$5:$M$11251,11,FALSE)</f>
        <v>4.82</v>
      </c>
      <c r="K282" s="91">
        <f>VLOOKUP(A282,CPU!$A$5:$M$11251,12,FALSE)</f>
        <v>166.25</v>
      </c>
      <c r="L282" s="91">
        <f>VLOOKUP(A282,CPU!$A$5:$M$11251,13,FALSE)</f>
        <v>0</v>
      </c>
      <c r="M282" s="95">
        <f t="shared" si="419"/>
        <v>171.07</v>
      </c>
    </row>
    <row r="283" spans="1:13" x14ac:dyDescent="0.2">
      <c r="A283" s="91" t="s">
        <v>1278</v>
      </c>
      <c r="B283" s="91" t="e">
        <f>#REF!</f>
        <v>#REF!</v>
      </c>
      <c r="C283" s="93" t="e">
        <f>#REF!</f>
        <v>#REF!</v>
      </c>
      <c r="D283" s="201">
        <f t="shared" si="430"/>
        <v>0</v>
      </c>
      <c r="E283" s="201">
        <f t="shared" si="431"/>
        <v>1340.1</v>
      </c>
      <c r="F283" s="201">
        <f t="shared" si="432"/>
        <v>0</v>
      </c>
      <c r="H283" s="91" t="s">
        <v>108</v>
      </c>
      <c r="J283" s="91">
        <f>VLOOKUP(A283,CPU!$A$5:$M$11251,11,FALSE)</f>
        <v>0</v>
      </c>
      <c r="K283" s="91">
        <f>VLOOKUP(A283,CPU!$A$5:$M$11251,12,FALSE)</f>
        <v>1340.1</v>
      </c>
      <c r="L283" s="91">
        <f>VLOOKUP(A283,CPU!$A$5:$M$11251,13,FALSE)</f>
        <v>0</v>
      </c>
      <c r="M283" s="95">
        <f t="shared" si="419"/>
        <v>1340.1</v>
      </c>
    </row>
    <row r="284" spans="1:13" x14ac:dyDescent="0.2">
      <c r="A284" s="91" t="s">
        <v>1279</v>
      </c>
      <c r="B284" s="91" t="e">
        <f>#REF!</f>
        <v>#REF!</v>
      </c>
      <c r="C284" s="93" t="e">
        <f>#REF!</f>
        <v>#REF!</v>
      </c>
      <c r="D284" s="201">
        <f t="shared" si="430"/>
        <v>0</v>
      </c>
      <c r="E284" s="201">
        <f t="shared" si="431"/>
        <v>686.49</v>
      </c>
      <c r="F284" s="201">
        <f t="shared" si="432"/>
        <v>0</v>
      </c>
      <c r="H284" s="91" t="s">
        <v>108</v>
      </c>
      <c r="J284" s="91">
        <f>VLOOKUP(A284,CPU!$A$5:$M$11251,11,FALSE)</f>
        <v>0</v>
      </c>
      <c r="K284" s="91">
        <f>VLOOKUP(A284,CPU!$A$5:$M$11251,12,FALSE)</f>
        <v>686.49</v>
      </c>
      <c r="L284" s="91">
        <f>VLOOKUP(A284,CPU!$A$5:$M$11251,13,FALSE)</f>
        <v>0</v>
      </c>
      <c r="M284" s="95">
        <f t="shared" si="419"/>
        <v>686.49</v>
      </c>
    </row>
    <row r="285" spans="1:13" x14ac:dyDescent="0.2">
      <c r="A285" s="91" t="s">
        <v>1280</v>
      </c>
      <c r="B285" s="91" t="e">
        <f>#REF!</f>
        <v>#REF!</v>
      </c>
      <c r="C285" s="93" t="e">
        <f>#REF!</f>
        <v>#REF!</v>
      </c>
      <c r="D285" s="201">
        <f t="shared" si="430"/>
        <v>0</v>
      </c>
      <c r="E285" s="201">
        <f t="shared" si="431"/>
        <v>308.68</v>
      </c>
      <c r="F285" s="201">
        <f t="shared" si="432"/>
        <v>0</v>
      </c>
      <c r="H285" s="91" t="s">
        <v>108</v>
      </c>
      <c r="J285" s="91">
        <f>VLOOKUP(A285,CPU!$A$5:$M$11251,11,FALSE)</f>
        <v>0</v>
      </c>
      <c r="K285" s="91">
        <f>VLOOKUP(A285,CPU!$A$5:$M$11251,12,FALSE)</f>
        <v>308.68</v>
      </c>
      <c r="L285" s="91">
        <f>VLOOKUP(A285,CPU!$A$5:$M$11251,13,FALSE)</f>
        <v>0</v>
      </c>
      <c r="M285" s="95">
        <f t="shared" si="419"/>
        <v>308.68</v>
      </c>
    </row>
    <row r="286" spans="1:13" x14ac:dyDescent="0.2">
      <c r="A286" s="91" t="s">
        <v>1281</v>
      </c>
      <c r="B286" s="91" t="e">
        <f>#REF!</f>
        <v>#REF!</v>
      </c>
      <c r="C286" s="93" t="e">
        <f>#REF!</f>
        <v>#REF!</v>
      </c>
      <c r="D286" s="201">
        <f t="shared" si="430"/>
        <v>0.72</v>
      </c>
      <c r="E286" s="201">
        <f t="shared" si="431"/>
        <v>1108</v>
      </c>
      <c r="F286" s="201">
        <f t="shared" si="432"/>
        <v>0</v>
      </c>
      <c r="H286" s="91" t="s">
        <v>108</v>
      </c>
      <c r="J286" s="91">
        <f>VLOOKUP(A286,CPU!$A$5:$M$11251,11,FALSE)</f>
        <v>0.72</v>
      </c>
      <c r="K286" s="91">
        <f>VLOOKUP(A286,CPU!$A$5:$M$11251,12,FALSE)</f>
        <v>1108</v>
      </c>
      <c r="L286" s="91">
        <f>VLOOKUP(A286,CPU!$A$5:$M$11251,13,FALSE)</f>
        <v>0</v>
      </c>
      <c r="M286" s="95">
        <f t="shared" si="419"/>
        <v>1108.72</v>
      </c>
    </row>
    <row r="287" spans="1:13" x14ac:dyDescent="0.2">
      <c r="A287" s="91" t="s">
        <v>1282</v>
      </c>
      <c r="B287" s="91" t="e">
        <f>#REF!</f>
        <v>#REF!</v>
      </c>
      <c r="C287" s="93" t="e">
        <f>#REF!</f>
        <v>#REF!</v>
      </c>
      <c r="D287" s="201">
        <f t="shared" si="430"/>
        <v>0.68</v>
      </c>
      <c r="E287" s="201">
        <f t="shared" si="431"/>
        <v>1064.45</v>
      </c>
      <c r="F287" s="201">
        <f t="shared" si="432"/>
        <v>0</v>
      </c>
      <c r="H287" s="91" t="s">
        <v>108</v>
      </c>
      <c r="J287" s="91">
        <f>VLOOKUP(A287,CPU!$A$5:$M$11251,11,FALSE)</f>
        <v>0.68</v>
      </c>
      <c r="K287" s="91">
        <f>VLOOKUP(A287,CPU!$A$5:$M$11251,12,FALSE)</f>
        <v>1064.45</v>
      </c>
      <c r="L287" s="91">
        <f>VLOOKUP(A287,CPU!$A$5:$M$11251,13,FALSE)</f>
        <v>0</v>
      </c>
      <c r="M287" s="95">
        <f t="shared" si="419"/>
        <v>1065.1300000000001</v>
      </c>
    </row>
    <row r="288" spans="1:13" x14ac:dyDescent="0.2">
      <c r="A288" s="91" t="s">
        <v>1283</v>
      </c>
      <c r="B288" s="91" t="e">
        <f>#REF!</f>
        <v>#REF!</v>
      </c>
      <c r="C288" s="93" t="e">
        <f>#REF!</f>
        <v>#REF!</v>
      </c>
      <c r="D288" s="201">
        <f t="shared" si="430"/>
        <v>0.8</v>
      </c>
      <c r="E288" s="201">
        <f t="shared" si="431"/>
        <v>1238.74</v>
      </c>
      <c r="F288" s="201">
        <f t="shared" si="432"/>
        <v>0</v>
      </c>
      <c r="H288" s="91" t="s">
        <v>108</v>
      </c>
      <c r="J288" s="91">
        <f>VLOOKUP(A288,CPU!$A$5:$M$11251,11,FALSE)</f>
        <v>0.8</v>
      </c>
      <c r="K288" s="91">
        <f>VLOOKUP(A288,CPU!$A$5:$M$11251,12,FALSE)</f>
        <v>1238.74</v>
      </c>
      <c r="L288" s="91">
        <f>VLOOKUP(A288,CPU!$A$5:$M$11251,13,FALSE)</f>
        <v>0</v>
      </c>
      <c r="M288" s="95">
        <f t="shared" si="419"/>
        <v>1239.54</v>
      </c>
    </row>
    <row r="289" spans="1:13" x14ac:dyDescent="0.2">
      <c r="A289" s="91" t="s">
        <v>1284</v>
      </c>
      <c r="B289" s="91" t="e">
        <f>#REF!</f>
        <v>#REF!</v>
      </c>
      <c r="C289" s="93" t="e">
        <f>#REF!</f>
        <v>#REF!</v>
      </c>
      <c r="D289" s="201">
        <f t="shared" si="430"/>
        <v>1.52</v>
      </c>
      <c r="E289" s="201">
        <f t="shared" si="431"/>
        <v>2613.19</v>
      </c>
      <c r="F289" s="201">
        <f t="shared" si="432"/>
        <v>0</v>
      </c>
      <c r="H289" s="91" t="s">
        <v>108</v>
      </c>
      <c r="J289" s="91">
        <f>VLOOKUP(A289,CPU!$A$5:$M$11251,11,FALSE)</f>
        <v>1.52</v>
      </c>
      <c r="K289" s="91">
        <f>VLOOKUP(A289,CPU!$A$5:$M$11251,12,FALSE)</f>
        <v>2613.19</v>
      </c>
      <c r="L289" s="91">
        <f>VLOOKUP(A289,CPU!$A$5:$M$11251,13,FALSE)</f>
        <v>0</v>
      </c>
      <c r="M289" s="95">
        <f t="shared" si="419"/>
        <v>2614.71</v>
      </c>
    </row>
    <row r="290" spans="1:13" x14ac:dyDescent="0.2">
      <c r="A290" s="91" t="s">
        <v>1285</v>
      </c>
      <c r="B290" s="91" t="e">
        <f>#REF!</f>
        <v>#REF!</v>
      </c>
      <c r="C290" s="93" t="e">
        <f>#REF!</f>
        <v>#REF!</v>
      </c>
      <c r="D290" s="201">
        <f t="shared" si="430"/>
        <v>1.58</v>
      </c>
      <c r="E290" s="201">
        <f t="shared" si="431"/>
        <v>2658.43</v>
      </c>
      <c r="F290" s="201">
        <f t="shared" si="432"/>
        <v>0</v>
      </c>
      <c r="H290" s="91" t="s">
        <v>108</v>
      </c>
      <c r="J290" s="91">
        <f>VLOOKUP(A290,CPU!$A$5:$M$11251,11,FALSE)</f>
        <v>1.58</v>
      </c>
      <c r="K290" s="91">
        <f>VLOOKUP(A290,CPU!$A$5:$M$11251,12,FALSE)</f>
        <v>2658.43</v>
      </c>
      <c r="L290" s="91">
        <f>VLOOKUP(A290,CPU!$A$5:$M$11251,13,FALSE)</f>
        <v>0</v>
      </c>
      <c r="M290" s="95">
        <f t="shared" si="419"/>
        <v>2660.0099999999998</v>
      </c>
    </row>
    <row r="291" spans="1:13" x14ac:dyDescent="0.2">
      <c r="A291" s="91" t="s">
        <v>1286</v>
      </c>
      <c r="B291" s="91" t="e">
        <f>#REF!</f>
        <v>#REF!</v>
      </c>
      <c r="C291" s="93" t="e">
        <f>#REF!</f>
        <v>#REF!</v>
      </c>
      <c r="D291" s="201">
        <f t="shared" si="430"/>
        <v>0</v>
      </c>
      <c r="E291" s="201">
        <f t="shared" si="431"/>
        <v>4131.84</v>
      </c>
      <c r="F291" s="201">
        <f t="shared" si="432"/>
        <v>0</v>
      </c>
      <c r="H291" s="91" t="s">
        <v>108</v>
      </c>
      <c r="J291" s="91">
        <f>VLOOKUP(A291,CPU!$A$5:$M$11251,11,FALSE)</f>
        <v>0</v>
      </c>
      <c r="K291" s="91">
        <f>VLOOKUP(A291,CPU!$A$5:$M$11251,12,FALSE)</f>
        <v>4131.84</v>
      </c>
      <c r="L291" s="91">
        <f>VLOOKUP(A291,CPU!$A$5:$M$11251,13,FALSE)</f>
        <v>0</v>
      </c>
      <c r="M291" s="95">
        <f t="shared" si="419"/>
        <v>4131.84</v>
      </c>
    </row>
    <row r="292" spans="1:13" x14ac:dyDescent="0.2">
      <c r="A292" s="91" t="s">
        <v>1287</v>
      </c>
      <c r="B292" s="91" t="e">
        <f>#REF!</f>
        <v>#REF!</v>
      </c>
      <c r="C292" s="93" t="e">
        <f>#REF!</f>
        <v>#REF!</v>
      </c>
      <c r="D292" s="201">
        <f t="shared" si="430"/>
        <v>0</v>
      </c>
      <c r="E292" s="201">
        <f t="shared" si="431"/>
        <v>3428.3999999999996</v>
      </c>
      <c r="F292" s="201">
        <f t="shared" si="432"/>
        <v>0</v>
      </c>
      <c r="H292" s="91" t="s">
        <v>108</v>
      </c>
      <c r="J292" s="91">
        <f>VLOOKUP(A292,CPU!$A$5:$M$11251,11,FALSE)</f>
        <v>0</v>
      </c>
      <c r="K292" s="91">
        <f>VLOOKUP(A292,CPU!$A$5:$M$11251,12,FALSE)</f>
        <v>3428.3999999999996</v>
      </c>
      <c r="L292" s="91">
        <f>VLOOKUP(A292,CPU!$A$5:$M$11251,13,FALSE)</f>
        <v>0</v>
      </c>
      <c r="M292" s="95">
        <f t="shared" si="419"/>
        <v>3428.3999999999996</v>
      </c>
    </row>
    <row r="293" spans="1:13" x14ac:dyDescent="0.2">
      <c r="A293" s="91" t="s">
        <v>1288</v>
      </c>
      <c r="B293" s="91" t="e">
        <f>#REF!</f>
        <v>#REF!</v>
      </c>
      <c r="C293" s="93" t="e">
        <f>#REF!</f>
        <v>#REF!</v>
      </c>
      <c r="D293" s="201">
        <f t="shared" si="430"/>
        <v>0</v>
      </c>
      <c r="E293" s="201">
        <f t="shared" si="431"/>
        <v>3163.71</v>
      </c>
      <c r="F293" s="201">
        <f t="shared" si="432"/>
        <v>0</v>
      </c>
      <c r="H293" s="91" t="s">
        <v>108</v>
      </c>
      <c r="J293" s="91">
        <f>VLOOKUP(A293,CPU!$A$5:$M$11251,11,FALSE)</f>
        <v>0</v>
      </c>
      <c r="K293" s="91">
        <f>VLOOKUP(A293,CPU!$A$5:$M$11251,12,FALSE)</f>
        <v>3163.71</v>
      </c>
      <c r="L293" s="91">
        <f>VLOOKUP(A293,CPU!$A$5:$M$11251,13,FALSE)</f>
        <v>0</v>
      </c>
      <c r="M293" s="95">
        <f t="shared" si="419"/>
        <v>3163.71</v>
      </c>
    </row>
    <row r="294" spans="1:13" x14ac:dyDescent="0.2">
      <c r="A294" s="91" t="s">
        <v>1289</v>
      </c>
      <c r="B294" s="91" t="s">
        <v>1799</v>
      </c>
      <c r="C294" s="93" t="s">
        <v>57</v>
      </c>
      <c r="D294" s="201">
        <f t="shared" ref="D294:D295" si="433">J294*$J$1</f>
        <v>128.21</v>
      </c>
      <c r="E294" s="201">
        <f t="shared" ref="E294:E295" si="434">K294*$J$1</f>
        <v>316.3</v>
      </c>
      <c r="F294" s="201">
        <f t="shared" ref="F294:F295" si="435">L294*$J$1</f>
        <v>0</v>
      </c>
      <c r="H294" s="91" t="s">
        <v>108</v>
      </c>
      <c r="J294" s="91">
        <f>VLOOKUP(A294,CPU!$A$5:$M$11251,11,FALSE)</f>
        <v>128.21</v>
      </c>
      <c r="K294" s="91">
        <f>VLOOKUP(A294,CPU!$A$5:$M$11251,12,FALSE)</f>
        <v>316.3</v>
      </c>
      <c r="L294" s="91">
        <f>VLOOKUP(A294,CPU!$A$5:$M$11251,13,FALSE)</f>
        <v>0</v>
      </c>
      <c r="M294" s="95">
        <f t="shared" si="419"/>
        <v>444.51</v>
      </c>
    </row>
    <row r="295" spans="1:13" x14ac:dyDescent="0.2">
      <c r="A295" s="91" t="s">
        <v>1290</v>
      </c>
      <c r="B295" s="91" t="s">
        <v>1798</v>
      </c>
      <c r="C295" s="93" t="s">
        <v>2</v>
      </c>
      <c r="D295" s="201">
        <f t="shared" si="433"/>
        <v>50</v>
      </c>
      <c r="E295" s="201">
        <f t="shared" si="434"/>
        <v>53.91</v>
      </c>
      <c r="F295" s="201">
        <f t="shared" si="435"/>
        <v>0</v>
      </c>
      <c r="H295" s="91" t="s">
        <v>108</v>
      </c>
      <c r="J295" s="91">
        <f>VLOOKUP(A295,CPU!$A$5:$M$11251,11,FALSE)</f>
        <v>50</v>
      </c>
      <c r="K295" s="91">
        <f>VLOOKUP(A295,CPU!$A$5:$M$11251,12,FALSE)</f>
        <v>53.91</v>
      </c>
      <c r="L295" s="91">
        <f>VLOOKUP(A295,CPU!$A$5:$M$11251,13,FALSE)</f>
        <v>0</v>
      </c>
      <c r="M295" s="95">
        <f t="shared" si="419"/>
        <v>103.91</v>
      </c>
    </row>
    <row r="296" spans="1:13" x14ac:dyDescent="0.2">
      <c r="A296" s="91" t="s">
        <v>1291</v>
      </c>
      <c r="B296" s="91" t="s">
        <v>1814</v>
      </c>
      <c r="C296" s="93" t="s">
        <v>57</v>
      </c>
      <c r="D296" s="201">
        <f t="shared" ref="D296" si="436">J296*$J$1</f>
        <v>12.85</v>
      </c>
      <c r="E296" s="201">
        <f t="shared" ref="E296" si="437">K296*$J$1</f>
        <v>7.98</v>
      </c>
      <c r="F296" s="201">
        <f t="shared" ref="F296" si="438">L296*$J$1</f>
        <v>0</v>
      </c>
      <c r="H296" s="91" t="s">
        <v>108</v>
      </c>
      <c r="J296" s="91">
        <f>VLOOKUP(A296,CPU!$A$5:$M$11251,11,FALSE)</f>
        <v>12.85</v>
      </c>
      <c r="K296" s="91">
        <f>VLOOKUP(A296,CPU!$A$5:$M$11251,12,FALSE)</f>
        <v>7.98</v>
      </c>
      <c r="L296" s="91">
        <f>VLOOKUP(A296,CPU!$A$5:$M$11251,13,FALSE)</f>
        <v>0</v>
      </c>
      <c r="M296" s="95">
        <f t="shared" si="419"/>
        <v>20.83</v>
      </c>
    </row>
    <row r="297" spans="1:13" x14ac:dyDescent="0.2">
      <c r="A297" s="91" t="s">
        <v>1292</v>
      </c>
      <c r="B297" s="91" t="s">
        <v>1822</v>
      </c>
      <c r="C297" s="93" t="s">
        <v>24</v>
      </c>
      <c r="D297" s="201">
        <f t="shared" ref="D297" si="439">J297*$J$1</f>
        <v>7713.86</v>
      </c>
      <c r="E297" s="201">
        <f t="shared" ref="E297" si="440">K297*$J$1</f>
        <v>10320.75</v>
      </c>
      <c r="F297" s="201">
        <f t="shared" ref="F297" si="441">L297*$J$1</f>
        <v>17949.400000000001</v>
      </c>
      <c r="H297" s="91" t="s">
        <v>108</v>
      </c>
      <c r="J297" s="91">
        <f>VLOOKUP(A297,CPU!$A$5:$M$11251,11,FALSE)</f>
        <v>7713.86</v>
      </c>
      <c r="K297" s="91">
        <f>VLOOKUP(A297,CPU!$A$5:$M$11251,12,FALSE)</f>
        <v>10320.75</v>
      </c>
      <c r="L297" s="91">
        <f>VLOOKUP(A297,CPU!$A$5:$M$11251,13,FALSE)</f>
        <v>17949.400000000001</v>
      </c>
      <c r="M297" s="95">
        <f t="shared" si="419"/>
        <v>35984.01</v>
      </c>
    </row>
    <row r="298" spans="1:13" x14ac:dyDescent="0.2">
      <c r="A298" s="91" t="s">
        <v>1293</v>
      </c>
      <c r="B298" s="91" t="s">
        <v>1849</v>
      </c>
      <c r="C298" s="93" t="s">
        <v>3</v>
      </c>
      <c r="D298" s="201">
        <f t="shared" ref="D298:D300" si="442">J298*$J$1</f>
        <v>666.4</v>
      </c>
      <c r="E298" s="201">
        <f t="shared" ref="E298:E300" si="443">K298*$J$1</f>
        <v>2578.9899999999998</v>
      </c>
      <c r="F298" s="201">
        <f t="shared" ref="F298:F300" si="444">L298*$J$1</f>
        <v>0</v>
      </c>
      <c r="H298" s="91" t="s">
        <v>108</v>
      </c>
      <c r="J298" s="91">
        <f>VLOOKUP(A298,CPU!$A$5:$M$11251,11,FALSE)</f>
        <v>666.4</v>
      </c>
      <c r="K298" s="91">
        <f>VLOOKUP(A298,CPU!$A$5:$M$11251,12,FALSE)</f>
        <v>2578.9899999999998</v>
      </c>
      <c r="L298" s="91">
        <f>VLOOKUP(A298,CPU!$A$5:$M$11251,13,FALSE)</f>
        <v>0</v>
      </c>
      <c r="M298" s="95">
        <f t="shared" si="419"/>
        <v>3245.39</v>
      </c>
    </row>
    <row r="299" spans="1:13" x14ac:dyDescent="0.2">
      <c r="A299" s="91" t="s">
        <v>1294</v>
      </c>
      <c r="B299" s="91" t="s">
        <v>1850</v>
      </c>
      <c r="C299" s="93" t="s">
        <v>3</v>
      </c>
      <c r="D299" s="201">
        <f t="shared" si="442"/>
        <v>666.4</v>
      </c>
      <c r="E299" s="201">
        <f t="shared" si="443"/>
        <v>2578.9899999999998</v>
      </c>
      <c r="F299" s="201">
        <f t="shared" si="444"/>
        <v>0</v>
      </c>
      <c r="H299" s="91" t="s">
        <v>108</v>
      </c>
      <c r="J299" s="91">
        <f>VLOOKUP(A299,CPU!$A$5:$M$11251,11,FALSE)</f>
        <v>666.4</v>
      </c>
      <c r="K299" s="91">
        <f>VLOOKUP(A299,CPU!$A$5:$M$11251,12,FALSE)</f>
        <v>2578.9899999999998</v>
      </c>
      <c r="L299" s="91">
        <f>VLOOKUP(A299,CPU!$A$5:$M$11251,13,FALSE)</f>
        <v>0</v>
      </c>
      <c r="M299" s="95">
        <f t="shared" si="419"/>
        <v>3245.39</v>
      </c>
    </row>
    <row r="300" spans="1:13" x14ac:dyDescent="0.2">
      <c r="A300" s="91" t="s">
        <v>1295</v>
      </c>
      <c r="B300" s="91" t="s">
        <v>1856</v>
      </c>
      <c r="C300" s="93" t="s">
        <v>3</v>
      </c>
      <c r="D300" s="201">
        <f t="shared" si="442"/>
        <v>666.4</v>
      </c>
      <c r="E300" s="201">
        <f t="shared" si="443"/>
        <v>3361.49</v>
      </c>
      <c r="F300" s="201">
        <f t="shared" si="444"/>
        <v>0</v>
      </c>
      <c r="H300" s="91" t="s">
        <v>108</v>
      </c>
      <c r="J300" s="91">
        <f>VLOOKUP(A300,CPU!$A$5:$M$11251,11,FALSE)</f>
        <v>666.4</v>
      </c>
      <c r="K300" s="91">
        <f>VLOOKUP(A300,CPU!$A$5:$M$11251,12,FALSE)</f>
        <v>3361.49</v>
      </c>
      <c r="L300" s="91">
        <f>VLOOKUP(A300,CPU!$A$5:$M$11251,13,FALSE)</f>
        <v>0</v>
      </c>
      <c r="M300" s="95">
        <f t="shared" si="419"/>
        <v>4027.89</v>
      </c>
    </row>
    <row r="301" spans="1:13" x14ac:dyDescent="0.2">
      <c r="A301" s="91" t="s">
        <v>1296</v>
      </c>
      <c r="B301" s="91" t="s">
        <v>1877</v>
      </c>
      <c r="C301" s="93" t="s">
        <v>58</v>
      </c>
      <c r="D301" s="201">
        <f t="shared" ref="D301" si="445">J301*$J$1</f>
        <v>246.42</v>
      </c>
      <c r="E301" s="201">
        <f t="shared" ref="E301" si="446">K301*$J$1</f>
        <v>213.42</v>
      </c>
      <c r="F301" s="201">
        <f t="shared" ref="F301" si="447">L301*$J$1</f>
        <v>0</v>
      </c>
      <c r="H301" s="91" t="s">
        <v>108</v>
      </c>
      <c r="J301" s="91">
        <f>VLOOKUP(A301,CPU!$A$5:$M$11251,11,FALSE)</f>
        <v>246.42</v>
      </c>
      <c r="K301" s="91">
        <f>VLOOKUP(A301,CPU!$A$5:$M$11251,12,FALSE)</f>
        <v>213.42</v>
      </c>
      <c r="L301" s="91">
        <f>VLOOKUP(A301,CPU!$A$5:$M$11251,13,FALSE)</f>
        <v>0</v>
      </c>
      <c r="M301" s="95">
        <f t="shared" si="419"/>
        <v>459.84</v>
      </c>
    </row>
    <row r="302" spans="1:13" x14ac:dyDescent="0.2">
      <c r="A302" s="91" t="s">
        <v>1297</v>
      </c>
      <c r="B302" s="91" t="s">
        <v>457</v>
      </c>
      <c r="C302" s="93" t="s">
        <v>3</v>
      </c>
      <c r="D302" s="201">
        <f t="shared" ref="D302" si="448">J302*$J$1</f>
        <v>143.88</v>
      </c>
      <c r="E302" s="201">
        <f t="shared" ref="E302" si="449">K302*$J$1</f>
        <v>52719.95</v>
      </c>
      <c r="F302" s="201">
        <f t="shared" ref="F302" si="450">L302*$J$1</f>
        <v>0</v>
      </c>
      <c r="H302" s="91" t="s">
        <v>108</v>
      </c>
      <c r="J302" s="91">
        <f>VLOOKUP(A302,CPU!$A$5:$M$11251,11,FALSE)</f>
        <v>143.88</v>
      </c>
      <c r="K302" s="91">
        <f>VLOOKUP(A302,CPU!$A$5:$M$11251,12,FALSE)</f>
        <v>52719.95</v>
      </c>
      <c r="L302" s="91">
        <f>VLOOKUP(A302,CPU!$A$5:$M$11251,13,FALSE)</f>
        <v>0</v>
      </c>
      <c r="M302" s="95">
        <f t="shared" si="419"/>
        <v>52863.829999999994</v>
      </c>
    </row>
    <row r="303" spans="1:13" x14ac:dyDescent="0.2">
      <c r="A303" s="91" t="s">
        <v>1298</v>
      </c>
      <c r="B303" s="91" t="s">
        <v>2235</v>
      </c>
      <c r="C303" s="93" t="s">
        <v>3</v>
      </c>
      <c r="D303" s="201">
        <f t="shared" ref="D303" si="451">J303*$J$1</f>
        <v>215.82</v>
      </c>
      <c r="E303" s="201">
        <f t="shared" ref="E303" si="452">K303*$J$1</f>
        <v>6295.11</v>
      </c>
      <c r="F303" s="201">
        <f t="shared" ref="F303" si="453">L303*$J$1</f>
        <v>0</v>
      </c>
      <c r="H303" s="91" t="s">
        <v>108</v>
      </c>
      <c r="J303" s="91">
        <f>VLOOKUP(A303,CPU!$A$5:$M$11251,11,FALSE)</f>
        <v>215.82</v>
      </c>
      <c r="K303" s="91">
        <f>VLOOKUP(A303,CPU!$A$5:$M$11251,12,FALSE)</f>
        <v>6295.11</v>
      </c>
      <c r="L303" s="91">
        <f>VLOOKUP(A303,CPU!$A$5:$M$11251,13,FALSE)</f>
        <v>0</v>
      </c>
      <c r="M303" s="95">
        <f t="shared" si="419"/>
        <v>6510.9299999999994</v>
      </c>
    </row>
    <row r="304" spans="1:13" x14ac:dyDescent="0.2">
      <c r="A304" s="91" t="s">
        <v>1299</v>
      </c>
      <c r="B304" s="91" t="s">
        <v>2237</v>
      </c>
      <c r="C304" s="93" t="s">
        <v>3</v>
      </c>
      <c r="D304" s="201">
        <f t="shared" ref="D304:D305" si="454">J304*$J$1</f>
        <v>317.01</v>
      </c>
      <c r="E304" s="201">
        <f t="shared" ref="E304:E305" si="455">K304*$J$1</f>
        <v>8713.31</v>
      </c>
      <c r="F304" s="201">
        <f t="shared" ref="F304:F305" si="456">L304*$J$1</f>
        <v>0</v>
      </c>
      <c r="H304" s="91" t="s">
        <v>108</v>
      </c>
      <c r="J304" s="91">
        <f>VLOOKUP(A304,CPU!$A$5:$M$11251,11,FALSE)</f>
        <v>317.01</v>
      </c>
      <c r="K304" s="91">
        <f>VLOOKUP(A304,CPU!$A$5:$M$11251,12,FALSE)</f>
        <v>8713.31</v>
      </c>
      <c r="L304" s="91">
        <f>VLOOKUP(A304,CPU!$A$5:$M$11251,13,FALSE)</f>
        <v>0</v>
      </c>
      <c r="M304" s="95">
        <f t="shared" si="419"/>
        <v>9030.32</v>
      </c>
    </row>
    <row r="305" spans="1:14" x14ac:dyDescent="0.2">
      <c r="A305" s="91" t="s">
        <v>1300</v>
      </c>
      <c r="B305" s="91" t="s">
        <v>2238</v>
      </c>
      <c r="C305" s="93" t="s">
        <v>3</v>
      </c>
      <c r="D305" s="201">
        <f t="shared" si="454"/>
        <v>317.01</v>
      </c>
      <c r="E305" s="201">
        <f t="shared" si="455"/>
        <v>8053.09</v>
      </c>
      <c r="F305" s="201">
        <f t="shared" si="456"/>
        <v>0</v>
      </c>
      <c r="H305" s="91" t="s">
        <v>108</v>
      </c>
      <c r="J305" s="91">
        <f>VLOOKUP(A305,CPU!$A$5:$M$11251,11,FALSE)</f>
        <v>317.01</v>
      </c>
      <c r="K305" s="91">
        <f>VLOOKUP(A305,CPU!$A$5:$M$11251,12,FALSE)</f>
        <v>8053.09</v>
      </c>
      <c r="L305" s="91">
        <f>VLOOKUP(A305,CPU!$A$5:$M$11251,13,FALSE)</f>
        <v>0</v>
      </c>
      <c r="M305" s="95">
        <f t="shared" si="419"/>
        <v>8370.1</v>
      </c>
    </row>
    <row r="306" spans="1:14" ht="13.5" x14ac:dyDescent="0.25">
      <c r="A306" s="91" t="s">
        <v>1922</v>
      </c>
      <c r="B306" s="90" t="s">
        <v>1924</v>
      </c>
      <c r="C306" s="93" t="s">
        <v>3</v>
      </c>
      <c r="D306" s="201">
        <f t="shared" ref="D306" si="457">J306*$J$1</f>
        <v>218.48000000000002</v>
      </c>
      <c r="E306" s="201">
        <f t="shared" ref="E306" si="458">K306*$J$1</f>
        <v>1855.45</v>
      </c>
      <c r="F306" s="201">
        <f t="shared" ref="F306" si="459">L306*$J$1</f>
        <v>0</v>
      </c>
      <c r="H306" s="91" t="s">
        <v>1923</v>
      </c>
      <c r="J306" s="91">
        <f>VLOOKUP(A306,CPU!$A$5:$M$11251,11,FALSE)</f>
        <v>218.48000000000002</v>
      </c>
      <c r="K306" s="91">
        <f>VLOOKUP(A306,CPU!$A$5:$M$11251,12,FALSE)</f>
        <v>1855.45</v>
      </c>
      <c r="L306" s="91">
        <f>VLOOKUP(A306,CPU!$A$5:$M$11251,13,FALSE)</f>
        <v>0</v>
      </c>
      <c r="M306" s="95">
        <f>SUM(J306:L306)</f>
        <v>2073.9300000000003</v>
      </c>
    </row>
    <row r="308" spans="1:14" x14ac:dyDescent="0.2">
      <c r="A308" s="423" t="s">
        <v>1825</v>
      </c>
      <c r="B308" s="423"/>
      <c r="C308" s="423"/>
      <c r="D308" s="423"/>
      <c r="E308" s="423"/>
      <c r="F308" s="423"/>
    </row>
    <row r="309" spans="1:14" ht="13.5" x14ac:dyDescent="0.25">
      <c r="A309" s="94" t="s">
        <v>66</v>
      </c>
      <c r="B309" s="94" t="s">
        <v>83</v>
      </c>
      <c r="C309" s="94" t="s">
        <v>30</v>
      </c>
      <c r="D309" s="94" t="s">
        <v>79</v>
      </c>
      <c r="E309" s="94" t="s">
        <v>92</v>
      </c>
      <c r="F309" s="98" t="s">
        <v>93</v>
      </c>
      <c r="H309" s="94" t="s">
        <v>86</v>
      </c>
      <c r="I309" s="94"/>
      <c r="J309" s="97" t="s">
        <v>88</v>
      </c>
      <c r="K309" s="97" t="s">
        <v>89</v>
      </c>
      <c r="L309" s="97" t="s">
        <v>90</v>
      </c>
      <c r="M309" s="97" t="s">
        <v>28</v>
      </c>
      <c r="N309" s="91">
        <v>1.2821</v>
      </c>
    </row>
    <row r="310" spans="1:14" x14ac:dyDescent="0.2">
      <c r="A310" s="393" t="s">
        <v>1826</v>
      </c>
      <c r="B310" s="91" t="s">
        <v>1828</v>
      </c>
      <c r="C310" s="93" t="s">
        <v>3</v>
      </c>
      <c r="D310" s="201">
        <f t="shared" ref="D310:D318" si="460">J310*$N$309</f>
        <v>28308.768</v>
      </c>
      <c r="E310" s="201">
        <f t="shared" ref="E310:E312" si="461">K310*$J$4</f>
        <v>0</v>
      </c>
      <c r="F310" s="201">
        <f t="shared" ref="F310:F312" si="462">L310*$J$4</f>
        <v>0</v>
      </c>
      <c r="H310" s="91" t="s">
        <v>74</v>
      </c>
      <c r="J310" s="201">
        <v>22080</v>
      </c>
      <c r="K310" s="201"/>
      <c r="L310" s="201"/>
      <c r="M310" s="95">
        <f t="shared" ref="M310:M318" si="463">SUM(J310:L310)</f>
        <v>22080</v>
      </c>
    </row>
    <row r="311" spans="1:14" x14ac:dyDescent="0.2">
      <c r="A311" s="393" t="s">
        <v>1827</v>
      </c>
      <c r="B311" s="91" t="s">
        <v>1829</v>
      </c>
      <c r="C311" s="93" t="s">
        <v>3</v>
      </c>
      <c r="D311" s="201">
        <f t="shared" si="460"/>
        <v>9519.5925000000007</v>
      </c>
      <c r="E311" s="201">
        <f t="shared" si="461"/>
        <v>0</v>
      </c>
      <c r="F311" s="201">
        <f t="shared" si="462"/>
        <v>0</v>
      </c>
      <c r="H311" s="91" t="s">
        <v>74</v>
      </c>
      <c r="J311" s="201">
        <v>7425</v>
      </c>
      <c r="K311" s="201"/>
      <c r="L311" s="201"/>
      <c r="M311" s="95">
        <f t="shared" si="463"/>
        <v>7425</v>
      </c>
    </row>
    <row r="312" spans="1:14" x14ac:dyDescent="0.2">
      <c r="A312" s="393" t="s">
        <v>1837</v>
      </c>
      <c r="B312" s="91" t="s">
        <v>1830</v>
      </c>
      <c r="C312" s="93" t="s">
        <v>3</v>
      </c>
      <c r="D312" s="201">
        <f t="shared" si="460"/>
        <v>103119.303</v>
      </c>
      <c r="E312" s="201">
        <f t="shared" si="461"/>
        <v>0</v>
      </c>
      <c r="F312" s="201">
        <f t="shared" si="462"/>
        <v>0</v>
      </c>
      <c r="H312" s="91" t="s">
        <v>74</v>
      </c>
      <c r="J312" s="201">
        <v>80430</v>
      </c>
      <c r="K312" s="201"/>
      <c r="L312" s="201"/>
      <c r="M312" s="95">
        <f t="shared" si="463"/>
        <v>80430</v>
      </c>
    </row>
    <row r="313" spans="1:14" x14ac:dyDescent="0.2">
      <c r="A313" s="393" t="s">
        <v>1838</v>
      </c>
      <c r="B313" s="91" t="s">
        <v>1831</v>
      </c>
      <c r="C313" s="93" t="s">
        <v>3</v>
      </c>
      <c r="D313" s="201">
        <f t="shared" si="460"/>
        <v>55809.813000000002</v>
      </c>
      <c r="E313" s="201">
        <f t="shared" ref="E313:E318" si="464">K313*$J$4</f>
        <v>0</v>
      </c>
      <c r="F313" s="201">
        <f t="shared" ref="F313:F318" si="465">L313*$J$4</f>
        <v>0</v>
      </c>
      <c r="H313" s="91" t="s">
        <v>74</v>
      </c>
      <c r="J313" s="201">
        <v>43530</v>
      </c>
      <c r="M313" s="95">
        <f t="shared" si="463"/>
        <v>43530</v>
      </c>
    </row>
    <row r="314" spans="1:14" x14ac:dyDescent="0.2">
      <c r="A314" s="393" t="s">
        <v>1839</v>
      </c>
      <c r="B314" s="91" t="s">
        <v>1832</v>
      </c>
      <c r="C314" s="93" t="s">
        <v>3</v>
      </c>
      <c r="D314" s="201">
        <f t="shared" si="460"/>
        <v>105580.935</v>
      </c>
      <c r="E314" s="201">
        <f t="shared" si="464"/>
        <v>0</v>
      </c>
      <c r="F314" s="201">
        <f t="shared" si="465"/>
        <v>0</v>
      </c>
      <c r="H314" s="91" t="s">
        <v>74</v>
      </c>
      <c r="J314" s="201">
        <v>82350</v>
      </c>
      <c r="M314" s="95">
        <f t="shared" si="463"/>
        <v>82350</v>
      </c>
    </row>
    <row r="315" spans="1:14" x14ac:dyDescent="0.2">
      <c r="A315" s="393" t="s">
        <v>1840</v>
      </c>
      <c r="B315" s="91" t="s">
        <v>1833</v>
      </c>
      <c r="C315" s="93" t="s">
        <v>3</v>
      </c>
      <c r="D315" s="201">
        <f t="shared" si="460"/>
        <v>131758.85279999999</v>
      </c>
      <c r="E315" s="201">
        <f t="shared" si="464"/>
        <v>0</v>
      </c>
      <c r="F315" s="201">
        <f t="shared" si="465"/>
        <v>0</v>
      </c>
      <c r="H315" s="91" t="s">
        <v>74</v>
      </c>
      <c r="J315" s="201">
        <v>102768</v>
      </c>
      <c r="M315" s="95">
        <f t="shared" si="463"/>
        <v>102768</v>
      </c>
    </row>
    <row r="316" spans="1:14" x14ac:dyDescent="0.2">
      <c r="A316" s="393" t="s">
        <v>1841</v>
      </c>
      <c r="B316" s="91" t="s">
        <v>1834</v>
      </c>
      <c r="C316" s="93" t="s">
        <v>3</v>
      </c>
      <c r="D316" s="201">
        <f t="shared" si="460"/>
        <v>71797.600000000006</v>
      </c>
      <c r="E316" s="201">
        <f t="shared" si="464"/>
        <v>0</v>
      </c>
      <c r="F316" s="201">
        <f t="shared" si="465"/>
        <v>0</v>
      </c>
      <c r="H316" s="91" t="s">
        <v>74</v>
      </c>
      <c r="J316" s="91">
        <v>56000</v>
      </c>
      <c r="M316" s="95">
        <f t="shared" si="463"/>
        <v>56000</v>
      </c>
    </row>
    <row r="317" spans="1:14" x14ac:dyDescent="0.2">
      <c r="A317" s="393" t="s">
        <v>1842</v>
      </c>
      <c r="B317" s="91" t="s">
        <v>1835</v>
      </c>
      <c r="C317" s="93" t="s">
        <v>3</v>
      </c>
      <c r="D317" s="201">
        <f t="shared" si="460"/>
        <v>12821</v>
      </c>
      <c r="E317" s="201">
        <f t="shared" si="464"/>
        <v>0</v>
      </c>
      <c r="F317" s="201">
        <f t="shared" si="465"/>
        <v>0</v>
      </c>
      <c r="H317" s="91" t="s">
        <v>74</v>
      </c>
      <c r="J317" s="201">
        <v>10000</v>
      </c>
      <c r="M317" s="95">
        <f t="shared" si="463"/>
        <v>10000</v>
      </c>
    </row>
    <row r="318" spans="1:14" x14ac:dyDescent="0.2">
      <c r="A318" s="393" t="s">
        <v>1843</v>
      </c>
      <c r="B318" s="91" t="s">
        <v>1836</v>
      </c>
      <c r="C318" s="93" t="s">
        <v>3</v>
      </c>
      <c r="D318" s="201">
        <f t="shared" si="460"/>
        <v>9519.5925000000007</v>
      </c>
      <c r="E318" s="201">
        <f t="shared" si="464"/>
        <v>0</v>
      </c>
      <c r="F318" s="201">
        <f t="shared" si="465"/>
        <v>0</v>
      </c>
      <c r="H318" s="91" t="s">
        <v>74</v>
      </c>
      <c r="J318" s="201">
        <v>7425</v>
      </c>
      <c r="M318" s="95">
        <f t="shared" si="463"/>
        <v>7425</v>
      </c>
    </row>
    <row r="319" spans="1:14" x14ac:dyDescent="0.2">
      <c r="J319" s="201"/>
    </row>
    <row r="320" spans="1:14" x14ac:dyDescent="0.2">
      <c r="A320" s="423" t="s">
        <v>143</v>
      </c>
      <c r="B320" s="423"/>
      <c r="C320" s="423"/>
      <c r="D320" s="423"/>
      <c r="E320" s="423"/>
      <c r="F320" s="423"/>
      <c r="M320" s="95">
        <f t="shared" ref="M320" si="466">SUM(J320:L320)</f>
        <v>0</v>
      </c>
    </row>
    <row r="321" spans="1:12" ht="13.5" x14ac:dyDescent="0.25">
      <c r="A321" s="94" t="s">
        <v>66</v>
      </c>
      <c r="B321" s="94" t="s">
        <v>83</v>
      </c>
      <c r="C321" s="94" t="s">
        <v>30</v>
      </c>
      <c r="D321" s="94" t="s">
        <v>79</v>
      </c>
      <c r="E321" s="94" t="s">
        <v>92</v>
      </c>
      <c r="F321" s="98" t="s">
        <v>93</v>
      </c>
      <c r="H321" s="94" t="s">
        <v>86</v>
      </c>
      <c r="I321" s="94"/>
      <c r="J321" s="97" t="s">
        <v>88</v>
      </c>
      <c r="K321" s="97" t="s">
        <v>89</v>
      </c>
      <c r="L321" s="97" t="s">
        <v>90</v>
      </c>
    </row>
    <row r="322" spans="1:12" x14ac:dyDescent="0.2">
      <c r="A322" s="393" t="s">
        <v>144</v>
      </c>
      <c r="B322" s="91" t="s">
        <v>196</v>
      </c>
      <c r="C322" s="93" t="s">
        <v>267</v>
      </c>
      <c r="D322" s="201">
        <f>J322*$J$4</f>
        <v>0</v>
      </c>
      <c r="E322" s="201">
        <f t="shared" ref="E322" si="467">K322*$J$4</f>
        <v>0</v>
      </c>
      <c r="F322" s="201">
        <f>L322*$J$4</f>
        <v>1086.1951200000001</v>
      </c>
      <c r="H322" s="91" t="s">
        <v>2340</v>
      </c>
      <c r="J322" s="201">
        <f>VLOOKUP(A322,Mapas!$B$1:$S$10689,15,FALSE)</f>
        <v>0</v>
      </c>
      <c r="K322" s="201">
        <f>VLOOKUP(A322,Mapas!$B$1:$S$10689,16,FALSE)</f>
        <v>0</v>
      </c>
      <c r="L322" s="201">
        <f>VLOOKUP(A322,Mapas!$B$1:$S$10689,17,FALSE)</f>
        <v>847.2</v>
      </c>
    </row>
    <row r="323" spans="1:12" ht="9.75" customHeight="1" x14ac:dyDescent="0.2">
      <c r="A323" s="393" t="s">
        <v>145</v>
      </c>
      <c r="B323" s="91" t="s">
        <v>197</v>
      </c>
      <c r="C323" s="93" t="s">
        <v>267</v>
      </c>
      <c r="D323" s="201">
        <f t="shared" ref="D323:D329" si="468">J323*$J$4</f>
        <v>0</v>
      </c>
      <c r="E323" s="201">
        <f t="shared" ref="E323:E329" si="469">K323*$J$4</f>
        <v>0</v>
      </c>
      <c r="F323" s="201">
        <f t="shared" ref="F323:F327" si="470">L323*$J$4</f>
        <v>1075.6819</v>
      </c>
      <c r="H323" s="91" t="s">
        <v>2340</v>
      </c>
      <c r="J323" s="201">
        <f>VLOOKUP(A323,Mapas!$B$1:$S$10689,15,FALSE)</f>
        <v>0</v>
      </c>
      <c r="K323" s="201">
        <f>VLOOKUP(A323,Mapas!$B$1:$S$10689,16,FALSE)</f>
        <v>0</v>
      </c>
      <c r="L323" s="201">
        <f>VLOOKUP(A323,Mapas!$B$1:$S$10689,17,FALSE)</f>
        <v>839</v>
      </c>
    </row>
    <row r="324" spans="1:12" x14ac:dyDescent="0.2">
      <c r="A324" s="393" t="s">
        <v>146</v>
      </c>
      <c r="B324" s="91" t="s">
        <v>211</v>
      </c>
      <c r="C324" s="93" t="s">
        <v>267</v>
      </c>
      <c r="D324" s="201">
        <f t="shared" si="468"/>
        <v>0</v>
      </c>
      <c r="E324" s="201">
        <f t="shared" si="469"/>
        <v>0</v>
      </c>
      <c r="F324" s="201">
        <f t="shared" si="470"/>
        <v>790.09412499999996</v>
      </c>
      <c r="H324" s="91" t="s">
        <v>2340</v>
      </c>
      <c r="J324" s="201">
        <f>VLOOKUP(A324,Mapas!$B$1:$S$10689,15,FALSE)</f>
        <v>0</v>
      </c>
      <c r="K324" s="201">
        <f>VLOOKUP(A324,Mapas!$B$1:$S$10689,16,FALSE)</f>
        <v>0</v>
      </c>
      <c r="L324" s="201">
        <f>VLOOKUP(A324,Mapas!$B$1:$S$10689,17,FALSE)</f>
        <v>616.25</v>
      </c>
    </row>
    <row r="325" spans="1:12" x14ac:dyDescent="0.2">
      <c r="A325" s="393" t="s">
        <v>147</v>
      </c>
      <c r="B325" s="91" t="s">
        <v>206</v>
      </c>
      <c r="C325" s="93" t="s">
        <v>267</v>
      </c>
      <c r="D325" s="201">
        <f t="shared" ref="D325" si="471">J325*$J$4</f>
        <v>0</v>
      </c>
      <c r="E325" s="201">
        <f t="shared" ref="E325" si="472">K325*$J$4</f>
        <v>0</v>
      </c>
      <c r="F325" s="201">
        <f t="shared" ref="F325" si="473">L325*$J$4</f>
        <v>777.27312500000005</v>
      </c>
      <c r="H325" s="91" t="s">
        <v>2340</v>
      </c>
      <c r="J325" s="201">
        <f>VLOOKUP(A325,Mapas!$B$1:$S$10689,15,FALSE)</f>
        <v>0</v>
      </c>
      <c r="K325" s="201">
        <f>VLOOKUP(A325,Mapas!$B$1:$S$10689,16,FALSE)</f>
        <v>0</v>
      </c>
      <c r="L325" s="201">
        <f>VLOOKUP(A325,Mapas!$B$1:$S$10689,17,FALSE)</f>
        <v>606.25</v>
      </c>
    </row>
    <row r="326" spans="1:12" x14ac:dyDescent="0.2">
      <c r="A326" s="393" t="s">
        <v>148</v>
      </c>
      <c r="B326" s="91" t="s">
        <v>207</v>
      </c>
      <c r="C326" s="93" t="s">
        <v>267</v>
      </c>
      <c r="D326" s="201">
        <f t="shared" si="468"/>
        <v>0</v>
      </c>
      <c r="E326" s="201">
        <f t="shared" si="469"/>
        <v>0</v>
      </c>
      <c r="F326" s="201">
        <f t="shared" si="470"/>
        <v>1337.2302999999999</v>
      </c>
      <c r="H326" s="91" t="s">
        <v>2340</v>
      </c>
      <c r="J326" s="201">
        <f>VLOOKUP(A326,Mapas!$B$1:$S$10689,15,FALSE)</f>
        <v>0</v>
      </c>
      <c r="K326" s="201">
        <f>VLOOKUP(A326,Mapas!$B$1:$S$10689,16,FALSE)</f>
        <v>0</v>
      </c>
      <c r="L326" s="201">
        <f>VLOOKUP(A326,Mapas!$B$1:$S$10689,17,FALSE)</f>
        <v>1043</v>
      </c>
    </row>
    <row r="327" spans="1:12" x14ac:dyDescent="0.2">
      <c r="A327" s="393" t="s">
        <v>149</v>
      </c>
      <c r="B327" s="91" t="s">
        <v>198</v>
      </c>
      <c r="C327" s="93" t="s">
        <v>267</v>
      </c>
      <c r="D327" s="201">
        <f t="shared" si="468"/>
        <v>0</v>
      </c>
      <c r="E327" s="201">
        <f t="shared" si="469"/>
        <v>0</v>
      </c>
      <c r="F327" s="201">
        <f t="shared" si="470"/>
        <v>380.35633333333334</v>
      </c>
      <c r="H327" s="91" t="s">
        <v>2340</v>
      </c>
      <c r="J327" s="201">
        <f>VLOOKUP(A327,Mapas!$B$1:$S$10689,15,FALSE)</f>
        <v>0</v>
      </c>
      <c r="K327" s="201">
        <f>VLOOKUP(A327,Mapas!$B$1:$S$10689,16,FALSE)</f>
        <v>0</v>
      </c>
      <c r="L327" s="201">
        <f>VLOOKUP(A327,Mapas!$B$1:$S$10689,17,FALSE)</f>
        <v>296.66666666666669</v>
      </c>
    </row>
    <row r="328" spans="1:12" x14ac:dyDescent="0.2">
      <c r="A328" s="393" t="s">
        <v>150</v>
      </c>
      <c r="B328" s="91" t="s">
        <v>199</v>
      </c>
      <c r="C328" s="93" t="s">
        <v>3</v>
      </c>
      <c r="D328" s="201">
        <f t="shared" si="468"/>
        <v>0</v>
      </c>
      <c r="E328" s="201">
        <f t="shared" si="469"/>
        <v>0</v>
      </c>
      <c r="F328" s="201">
        <f>L328*$J$4</f>
        <v>1048.7578000000001</v>
      </c>
      <c r="H328" s="91" t="s">
        <v>2340</v>
      </c>
      <c r="J328" s="201">
        <f>VLOOKUP(A328,Mapas!$B$1:$S$10689,15,FALSE)</f>
        <v>0</v>
      </c>
      <c r="K328" s="201">
        <f>VLOOKUP(A328,Mapas!$B$1:$S$10689,16,FALSE)</f>
        <v>0</v>
      </c>
      <c r="L328" s="201">
        <f>VLOOKUP(A328,Mapas!$B$1:$S$10689,17,FALSE)</f>
        <v>818</v>
      </c>
    </row>
    <row r="329" spans="1:12" x14ac:dyDescent="0.2">
      <c r="A329" s="393" t="s">
        <v>151</v>
      </c>
      <c r="B329" s="91" t="s">
        <v>200</v>
      </c>
      <c r="C329" s="93" t="s">
        <v>3</v>
      </c>
      <c r="D329" s="201">
        <f t="shared" si="468"/>
        <v>0</v>
      </c>
      <c r="E329" s="201">
        <f t="shared" si="469"/>
        <v>0</v>
      </c>
      <c r="F329" s="201">
        <f>L329*$J$4</f>
        <v>1048.7578000000001</v>
      </c>
      <c r="H329" s="91" t="s">
        <v>2340</v>
      </c>
      <c r="J329" s="201">
        <f>VLOOKUP(A329,Mapas!$B$1:$S$10689,15,FALSE)</f>
        <v>0</v>
      </c>
      <c r="K329" s="201">
        <f>VLOOKUP(A329,Mapas!$B$1:$S$10689,16,FALSE)</f>
        <v>0</v>
      </c>
      <c r="L329" s="201">
        <f>VLOOKUP(A329,Mapas!$B$1:$S$10689,17,FALSE)</f>
        <v>818</v>
      </c>
    </row>
    <row r="330" spans="1:12" x14ac:dyDescent="0.2">
      <c r="A330" s="393" t="s">
        <v>152</v>
      </c>
      <c r="B330" s="91" t="s">
        <v>223</v>
      </c>
      <c r="C330" s="93" t="s">
        <v>3</v>
      </c>
      <c r="D330" s="201">
        <f t="shared" ref="D330:D332" si="474">J330*$J$4</f>
        <v>0</v>
      </c>
      <c r="E330" s="201">
        <f t="shared" ref="E330:E332" si="475">K330*$J$4</f>
        <v>0</v>
      </c>
      <c r="F330" s="201">
        <f t="shared" ref="F330:F332" si="476">L330*$J$4</f>
        <v>22538.676950000001</v>
      </c>
      <c r="H330" s="91" t="s">
        <v>2340</v>
      </c>
      <c r="J330" s="201">
        <f>VLOOKUP(A330,Mapas!$B$1:$S$10689,15,FALSE)</f>
        <v>0</v>
      </c>
      <c r="K330" s="201">
        <f>VLOOKUP(A330,Mapas!$B$1:$S$10689,16,FALSE)</f>
        <v>0</v>
      </c>
      <c r="L330" s="201">
        <f>VLOOKUP(A330,Mapas!$B$1:$S$10689,17,FALSE)</f>
        <v>17579.5</v>
      </c>
    </row>
    <row r="331" spans="1:12" x14ac:dyDescent="0.2">
      <c r="A331" s="393" t="s">
        <v>153</v>
      </c>
      <c r="B331" s="91" t="s">
        <v>224</v>
      </c>
      <c r="C331" s="93" t="s">
        <v>2</v>
      </c>
      <c r="D331" s="201">
        <f t="shared" si="474"/>
        <v>0</v>
      </c>
      <c r="E331" s="201">
        <f t="shared" si="475"/>
        <v>0</v>
      </c>
      <c r="F331" s="201">
        <f t="shared" si="476"/>
        <v>233.21350921250001</v>
      </c>
      <c r="H331" s="91" t="s">
        <v>2340</v>
      </c>
      <c r="J331" s="201">
        <f>VLOOKUP(A331,Mapas!$B$1:$S$10689,15,FALSE)</f>
        <v>0</v>
      </c>
      <c r="K331" s="201">
        <f>VLOOKUP(A331,Mapas!$B$1:$S$10689,16,FALSE)</f>
        <v>0</v>
      </c>
      <c r="L331" s="201">
        <f>VLOOKUP(A331,Mapas!$B$1:$S$10689,17,FALSE)</f>
        <v>181.89962500000001</v>
      </c>
    </row>
    <row r="332" spans="1:12" x14ac:dyDescent="0.2">
      <c r="A332" s="393" t="s">
        <v>154</v>
      </c>
      <c r="B332" s="91" t="s">
        <v>225</v>
      </c>
      <c r="C332" s="93" t="s">
        <v>2</v>
      </c>
      <c r="D332" s="201">
        <f t="shared" si="474"/>
        <v>0</v>
      </c>
      <c r="E332" s="201">
        <f t="shared" si="475"/>
        <v>0</v>
      </c>
      <c r="F332" s="201">
        <f t="shared" si="476"/>
        <v>269.94928358229856</v>
      </c>
      <c r="H332" s="91" t="s">
        <v>2340</v>
      </c>
      <c r="J332" s="201">
        <f>VLOOKUP(A332,Mapas!$B$1:$S$10689,15,FALSE)</f>
        <v>0</v>
      </c>
      <c r="K332" s="201">
        <f>VLOOKUP(A332,Mapas!$B$1:$S$10689,16,FALSE)</f>
        <v>0</v>
      </c>
      <c r="L332" s="201">
        <f>VLOOKUP(A332,Mapas!$B$1:$S$10689,17,FALSE)</f>
        <v>210.5524402014652</v>
      </c>
    </row>
    <row r="333" spans="1:12" x14ac:dyDescent="0.2">
      <c r="A333" s="393" t="s">
        <v>155</v>
      </c>
      <c r="B333" s="91" t="s">
        <v>241</v>
      </c>
      <c r="C333" s="93" t="s">
        <v>3</v>
      </c>
      <c r="D333" s="201">
        <f t="shared" ref="D333:D335" si="477">J333*$J$4</f>
        <v>0</v>
      </c>
      <c r="E333" s="201">
        <f t="shared" ref="E333:E335" si="478">K333*$J$4</f>
        <v>0</v>
      </c>
      <c r="F333" s="201">
        <f t="shared" ref="F333:F335" si="479">L333*$J$4</f>
        <v>14701.413333333332</v>
      </c>
      <c r="H333" s="91" t="s">
        <v>2340</v>
      </c>
      <c r="J333" s="201">
        <f>VLOOKUP(A333,Mapas!$B$1:$S$10689,15,FALSE)</f>
        <v>0</v>
      </c>
      <c r="K333" s="201">
        <f>VLOOKUP(A333,Mapas!$B$1:$S$10689,16,FALSE)</f>
        <v>0</v>
      </c>
      <c r="L333" s="201">
        <f>VLOOKUP(A333,Mapas!$B$1:$S$10689,17,FALSE)</f>
        <v>11466.666666666666</v>
      </c>
    </row>
    <row r="334" spans="1:12" x14ac:dyDescent="0.2">
      <c r="A334" s="393" t="s">
        <v>156</v>
      </c>
      <c r="B334" s="91" t="s">
        <v>242</v>
      </c>
      <c r="C334" s="93" t="s">
        <v>3</v>
      </c>
      <c r="D334" s="201">
        <f t="shared" si="477"/>
        <v>0</v>
      </c>
      <c r="E334" s="201">
        <f t="shared" si="478"/>
        <v>0</v>
      </c>
      <c r="F334" s="201">
        <f t="shared" si="479"/>
        <v>0</v>
      </c>
      <c r="H334" s="91" t="s">
        <v>2340</v>
      </c>
      <c r="J334" s="201">
        <f>VLOOKUP(A334,Mapas!$B$1:$S$10689,15,FALSE)</f>
        <v>0</v>
      </c>
      <c r="K334" s="201">
        <f>VLOOKUP(A334,Mapas!$B$1:$S$10689,16,FALSE)</f>
        <v>0</v>
      </c>
      <c r="L334" s="201">
        <f>VLOOKUP(A334,Mapas!$B$1:$S$10689,17,FALSE)</f>
        <v>0</v>
      </c>
    </row>
    <row r="335" spans="1:12" x14ac:dyDescent="0.2">
      <c r="A335" s="393" t="s">
        <v>157</v>
      </c>
      <c r="B335" s="91" t="s">
        <v>243</v>
      </c>
      <c r="C335" s="93" t="s">
        <v>3</v>
      </c>
      <c r="D335" s="201">
        <f t="shared" si="477"/>
        <v>0</v>
      </c>
      <c r="E335" s="201">
        <f t="shared" si="478"/>
        <v>15669.142413333335</v>
      </c>
      <c r="F335" s="201">
        <f t="shared" si="479"/>
        <v>0</v>
      </c>
      <c r="H335" s="91" t="s">
        <v>2340</v>
      </c>
      <c r="J335" s="201">
        <f>VLOOKUP(A335,Mapas!$B$1:$S$10689,15,FALSE)</f>
        <v>0</v>
      </c>
      <c r="K335" s="201">
        <f>VLOOKUP(A335,Mapas!$B$1:$S$10689,16,FALSE)</f>
        <v>12221.466666666667</v>
      </c>
      <c r="L335" s="201">
        <f>VLOOKUP(A335,Mapas!$B$1:$S$10689,17,FALSE)</f>
        <v>0</v>
      </c>
    </row>
    <row r="336" spans="1:12" x14ac:dyDescent="0.2">
      <c r="A336" s="393" t="s">
        <v>158</v>
      </c>
      <c r="B336" s="91" t="s">
        <v>244</v>
      </c>
      <c r="C336" s="93" t="s">
        <v>3</v>
      </c>
      <c r="D336" s="201">
        <f t="shared" ref="D336:D338" si="480">J336*$J$4</f>
        <v>0</v>
      </c>
      <c r="E336" s="201">
        <f t="shared" ref="E336:E338" si="481">K336*$J$4</f>
        <v>0</v>
      </c>
      <c r="F336" s="201">
        <f t="shared" ref="F336:F338" si="482">L336*$J$4</f>
        <v>9615.75</v>
      </c>
      <c r="H336" s="91" t="s">
        <v>2340</v>
      </c>
      <c r="J336" s="201">
        <f>VLOOKUP(A336,Mapas!$B$1:$S$10689,15,FALSE)</f>
        <v>0</v>
      </c>
      <c r="K336" s="201">
        <f>VLOOKUP(A336,Mapas!$B$1:$S$10689,16,FALSE)</f>
        <v>0</v>
      </c>
      <c r="L336" s="201">
        <f>VLOOKUP(A336,Mapas!$B$1:$S$10689,17,FALSE)</f>
        <v>7500</v>
      </c>
    </row>
    <row r="337" spans="1:12" x14ac:dyDescent="0.2">
      <c r="A337" s="393" t="s">
        <v>159</v>
      </c>
      <c r="B337" s="91" t="s">
        <v>245</v>
      </c>
      <c r="C337" s="93" t="s">
        <v>1175</v>
      </c>
      <c r="D337" s="201">
        <f t="shared" si="480"/>
        <v>0</v>
      </c>
      <c r="E337" s="201">
        <f t="shared" si="481"/>
        <v>0</v>
      </c>
      <c r="F337" s="201">
        <f t="shared" si="482"/>
        <v>495.03305555555551</v>
      </c>
      <c r="H337" s="91" t="s">
        <v>2340</v>
      </c>
      <c r="J337" s="201">
        <f>VLOOKUP(A337,Mapas!$B$1:$S$10689,15,FALSE)</f>
        <v>0</v>
      </c>
      <c r="K337" s="201">
        <f>VLOOKUP(A337,Mapas!$B$1:$S$10689,16,FALSE)</f>
        <v>0</v>
      </c>
      <c r="L337" s="201">
        <f>VLOOKUP(A337,Mapas!$B$1:$S$10689,17,FALSE)</f>
        <v>386.11111111111109</v>
      </c>
    </row>
    <row r="338" spans="1:12" x14ac:dyDescent="0.2">
      <c r="A338" s="393" t="s">
        <v>160</v>
      </c>
      <c r="B338" s="91" t="s">
        <v>246</v>
      </c>
      <c r="C338" s="93" t="s">
        <v>247</v>
      </c>
      <c r="D338" s="201">
        <f t="shared" si="480"/>
        <v>1326.9735000000001</v>
      </c>
      <c r="E338" s="201">
        <f t="shared" si="481"/>
        <v>0</v>
      </c>
      <c r="F338" s="201">
        <f t="shared" si="482"/>
        <v>0</v>
      </c>
      <c r="H338" s="91" t="s">
        <v>2340</v>
      </c>
      <c r="J338" s="201">
        <f>VLOOKUP(A338,Mapas!$B$1:$S$10689,15,FALSE)</f>
        <v>1035</v>
      </c>
      <c r="K338" s="201">
        <f>VLOOKUP(A338,Mapas!$B$1:$S$10689,16,FALSE)</f>
        <v>0</v>
      </c>
      <c r="L338" s="201">
        <f>VLOOKUP(A338,Mapas!$B$1:$S$10689,17,FALSE)</f>
        <v>0</v>
      </c>
    </row>
    <row r="339" spans="1:12" x14ac:dyDescent="0.2">
      <c r="A339" s="393" t="s">
        <v>161</v>
      </c>
      <c r="B339" s="91" t="s">
        <v>1182</v>
      </c>
      <c r="C339" s="93" t="s">
        <v>3</v>
      </c>
      <c r="D339" s="201">
        <f t="shared" ref="D339:D341" si="483">J339*$J$4</f>
        <v>0</v>
      </c>
      <c r="E339" s="201">
        <f t="shared" ref="E339:E341" si="484">K339*$J$4</f>
        <v>8234.8947320177722</v>
      </c>
      <c r="F339" s="201">
        <f t="shared" ref="F339:F341" si="485">L339*$J$4</f>
        <v>0</v>
      </c>
      <c r="H339" s="91" t="s">
        <v>2340</v>
      </c>
      <c r="J339" s="201">
        <f>VLOOKUP(A339,Mapas!$B$1:$S$10689,15,FALSE)</f>
        <v>0</v>
      </c>
      <c r="K339" s="201">
        <f>VLOOKUP(A339,Mapas!$B$1:$S$10689,16,FALSE)</f>
        <v>6422.9738179687793</v>
      </c>
      <c r="L339" s="201">
        <f>VLOOKUP(A339,Mapas!$B$1:$S$10689,17,FALSE)</f>
        <v>0</v>
      </c>
    </row>
    <row r="340" spans="1:12" x14ac:dyDescent="0.2">
      <c r="A340" s="393" t="s">
        <v>162</v>
      </c>
      <c r="B340" s="91" t="s">
        <v>1183</v>
      </c>
      <c r="C340" s="93" t="s">
        <v>3</v>
      </c>
      <c r="D340" s="201">
        <f t="shared" si="483"/>
        <v>0</v>
      </c>
      <c r="E340" s="201">
        <f t="shared" si="484"/>
        <v>17940.125900675102</v>
      </c>
      <c r="F340" s="201">
        <f t="shared" si="485"/>
        <v>0</v>
      </c>
      <c r="H340" s="91" t="s">
        <v>2340</v>
      </c>
      <c r="J340" s="201">
        <f>VLOOKUP(A340,Mapas!$B$1:$S$10689,15,FALSE)</f>
        <v>0</v>
      </c>
      <c r="K340" s="201">
        <f>VLOOKUP(A340,Mapas!$B$1:$S$10689,16,FALSE)</f>
        <v>13992.766477400439</v>
      </c>
      <c r="L340" s="201">
        <f>VLOOKUP(A340,Mapas!$B$1:$S$10689,17,FALSE)</f>
        <v>0</v>
      </c>
    </row>
    <row r="341" spans="1:12" x14ac:dyDescent="0.2">
      <c r="A341" s="393" t="s">
        <v>163</v>
      </c>
      <c r="B341" s="91" t="s">
        <v>1184</v>
      </c>
      <c r="C341" s="93" t="s">
        <v>3</v>
      </c>
      <c r="D341" s="201">
        <f t="shared" si="483"/>
        <v>0</v>
      </c>
      <c r="E341" s="201">
        <f t="shared" si="484"/>
        <v>23854.971508955987</v>
      </c>
      <c r="F341" s="201">
        <f t="shared" si="485"/>
        <v>0</v>
      </c>
      <c r="H341" s="91" t="s">
        <v>2340</v>
      </c>
      <c r="J341" s="201">
        <f>VLOOKUP(A341,Mapas!$B$1:$S$10689,15,FALSE)</f>
        <v>0</v>
      </c>
      <c r="K341" s="201">
        <f>VLOOKUP(A341,Mapas!$B$1:$S$10689,16,FALSE)</f>
        <v>18606.170742497456</v>
      </c>
      <c r="L341" s="201">
        <f>VLOOKUP(A341,Mapas!$B$1:$S$10689,17,FALSE)</f>
        <v>0</v>
      </c>
    </row>
    <row r="342" spans="1:12" x14ac:dyDescent="0.2">
      <c r="A342" s="393" t="s">
        <v>164</v>
      </c>
      <c r="B342" s="91" t="s">
        <v>1314</v>
      </c>
      <c r="C342" s="93" t="s">
        <v>57</v>
      </c>
      <c r="D342" s="201">
        <f t="shared" ref="D342:D343" si="486">J342*$J$4</f>
        <v>0</v>
      </c>
      <c r="E342" s="201">
        <f t="shared" ref="E342:E343" si="487">K342*$J$4</f>
        <v>1227.3216620766389</v>
      </c>
      <c r="F342" s="201">
        <f t="shared" ref="F342:F343" si="488">L342*$J$4</f>
        <v>0</v>
      </c>
      <c r="H342" s="91" t="s">
        <v>2340</v>
      </c>
      <c r="J342" s="201">
        <f>VLOOKUP(A342,Mapas!$B$1:$S$10689,15,FALSE)</f>
        <v>0</v>
      </c>
      <c r="K342" s="201">
        <f>VLOOKUP(A342,Mapas!$B$1:$S$10689,16,FALSE)</f>
        <v>957.27451998801871</v>
      </c>
      <c r="L342" s="201">
        <f>VLOOKUP(A342,Mapas!$B$1:$S$10689,17,FALSE)</f>
        <v>0</v>
      </c>
    </row>
    <row r="343" spans="1:12" x14ac:dyDescent="0.2">
      <c r="A343" s="393" t="s">
        <v>165</v>
      </c>
      <c r="B343" s="91" t="s">
        <v>276</v>
      </c>
      <c r="C343" s="93" t="s">
        <v>3</v>
      </c>
      <c r="D343" s="201">
        <f t="shared" si="486"/>
        <v>0</v>
      </c>
      <c r="E343" s="201">
        <f t="shared" si="487"/>
        <v>792.73969096284452</v>
      </c>
      <c r="F343" s="201">
        <f t="shared" si="488"/>
        <v>0</v>
      </c>
      <c r="H343" s="91" t="s">
        <v>2340</v>
      </c>
      <c r="J343" s="201">
        <f>VLOOKUP(A343,Mapas!$B$1:$S$10689,15,FALSE)</f>
        <v>0</v>
      </c>
      <c r="K343" s="201">
        <f>VLOOKUP(A343,Mapas!$B$1:$S$10689,16,FALSE)</f>
        <v>618.31346303942325</v>
      </c>
      <c r="L343" s="201">
        <f>VLOOKUP(A343,Mapas!$B$1:$S$10689,17,FALSE)</f>
        <v>0</v>
      </c>
    </row>
    <row r="344" spans="1:12" x14ac:dyDescent="0.2">
      <c r="A344" s="393" t="s">
        <v>166</v>
      </c>
      <c r="B344" s="91" t="s">
        <v>311</v>
      </c>
      <c r="C344" s="93" t="s">
        <v>57</v>
      </c>
      <c r="D344" s="201">
        <f t="shared" ref="D344:D345" si="489">J344*$J$4</f>
        <v>0</v>
      </c>
      <c r="E344" s="201">
        <f t="shared" ref="E344:E345" si="490">K344*$J$4</f>
        <v>1204.0637849966733</v>
      </c>
      <c r="F344" s="201">
        <f t="shared" ref="F344:F345" si="491">L344*$J$4</f>
        <v>0</v>
      </c>
      <c r="H344" s="91" t="s">
        <v>2340</v>
      </c>
      <c r="J344" s="201">
        <f>VLOOKUP(A344,Mapas!$B$1:$S$10689,15,FALSE)</f>
        <v>0</v>
      </c>
      <c r="K344" s="201">
        <f>VLOOKUP(A344,Mapas!$B$1:$S$10689,16,FALSE)</f>
        <v>939.13406520292745</v>
      </c>
      <c r="L344" s="201">
        <f>VLOOKUP(A344,Mapas!$B$1:$S$10689,17,FALSE)</f>
        <v>0</v>
      </c>
    </row>
    <row r="345" spans="1:12" x14ac:dyDescent="0.2">
      <c r="A345" s="393" t="s">
        <v>167</v>
      </c>
      <c r="B345" s="91" t="s">
        <v>312</v>
      </c>
      <c r="C345" s="93" t="s">
        <v>3</v>
      </c>
      <c r="D345" s="201">
        <f t="shared" si="489"/>
        <v>0</v>
      </c>
      <c r="E345" s="201">
        <f t="shared" si="490"/>
        <v>4526.7198720666665</v>
      </c>
      <c r="F345" s="201">
        <f t="shared" si="491"/>
        <v>0</v>
      </c>
      <c r="H345" s="91" t="s">
        <v>2340</v>
      </c>
      <c r="J345" s="201">
        <f>VLOOKUP(A345,Mapas!$B$1:$S$10689,15,FALSE)</f>
        <v>0</v>
      </c>
      <c r="K345" s="201">
        <f>VLOOKUP(A345,Mapas!$B$1:$S$10689,16,FALSE)</f>
        <v>3530.7073333333333</v>
      </c>
      <c r="L345" s="201">
        <f>VLOOKUP(A345,Mapas!$B$1:$S$10689,17,FALSE)</f>
        <v>0</v>
      </c>
    </row>
    <row r="346" spans="1:12" x14ac:dyDescent="0.2">
      <c r="A346" s="393" t="s">
        <v>205</v>
      </c>
      <c r="B346" s="91" t="s">
        <v>287</v>
      </c>
      <c r="C346" s="93" t="s">
        <v>3</v>
      </c>
      <c r="D346" s="201">
        <f t="shared" ref="D346" si="492">J346*$J$4</f>
        <v>0</v>
      </c>
      <c r="E346" s="201">
        <f t="shared" ref="E346" si="493">K346*$J$4</f>
        <v>40527.454514666664</v>
      </c>
      <c r="F346" s="201">
        <f t="shared" ref="F346" si="494">L346*$J$4</f>
        <v>0</v>
      </c>
      <c r="H346" s="91" t="s">
        <v>2340</v>
      </c>
      <c r="J346" s="201">
        <f>VLOOKUP(A346,Mapas!$B$1:$S$10689,15,FALSE)</f>
        <v>0</v>
      </c>
      <c r="K346" s="201">
        <f>VLOOKUP(A346,Mapas!$B$1:$S$10689,16,FALSE)</f>
        <v>31610.213333333333</v>
      </c>
      <c r="L346" s="201">
        <f>VLOOKUP(A346,Mapas!$B$1:$S$10689,17,FALSE)</f>
        <v>0</v>
      </c>
    </row>
    <row r="347" spans="1:12" x14ac:dyDescent="0.2">
      <c r="A347" s="393" t="s">
        <v>1333</v>
      </c>
      <c r="B347" s="91" t="s">
        <v>288</v>
      </c>
      <c r="C347" s="93" t="s">
        <v>3</v>
      </c>
      <c r="D347" s="201">
        <f t="shared" ref="D347:D395" si="495">J347*$J$4</f>
        <v>0</v>
      </c>
      <c r="E347" s="201">
        <f t="shared" ref="E347:E395" si="496">K347*$J$4</f>
        <v>51192.650374999997</v>
      </c>
      <c r="F347" s="201">
        <f t="shared" ref="F347:F395" si="497">L347*$J$4</f>
        <v>0</v>
      </c>
      <c r="H347" s="91" t="s">
        <v>2340</v>
      </c>
      <c r="J347" s="201">
        <f>VLOOKUP(A347,Mapas!$B$1:$S$10689,15,FALSE)</f>
        <v>0</v>
      </c>
      <c r="K347" s="201">
        <f>VLOOKUP(A347,Mapas!$B$1:$S$10689,16,FALSE)</f>
        <v>39928.75</v>
      </c>
      <c r="L347" s="201">
        <f>VLOOKUP(A347,Mapas!$B$1:$S$10689,17,FALSE)</f>
        <v>0</v>
      </c>
    </row>
    <row r="348" spans="1:12" x14ac:dyDescent="0.2">
      <c r="A348" s="393" t="s">
        <v>1334</v>
      </c>
      <c r="B348" s="91" t="s">
        <v>289</v>
      </c>
      <c r="C348" s="93" t="s">
        <v>3</v>
      </c>
      <c r="D348" s="201">
        <f t="shared" si="495"/>
        <v>0</v>
      </c>
      <c r="E348" s="201">
        <f t="shared" si="496"/>
        <v>22962.470831333332</v>
      </c>
      <c r="F348" s="201">
        <f t="shared" si="497"/>
        <v>0</v>
      </c>
      <c r="H348" s="91" t="s">
        <v>2340</v>
      </c>
      <c r="J348" s="201">
        <f>VLOOKUP(A348,Mapas!$B$1:$S$10689,15,FALSE)</f>
        <v>0</v>
      </c>
      <c r="K348" s="201">
        <f>VLOOKUP(A348,Mapas!$B$1:$S$10689,16,FALSE)</f>
        <v>17910.046666666665</v>
      </c>
      <c r="L348" s="201">
        <f>VLOOKUP(A348,Mapas!$B$1:$S$10689,17,FALSE)</f>
        <v>0</v>
      </c>
    </row>
    <row r="349" spans="1:12" x14ac:dyDescent="0.2">
      <c r="A349" s="393" t="s">
        <v>1335</v>
      </c>
      <c r="B349" s="91" t="s">
        <v>290</v>
      </c>
      <c r="C349" s="93" t="s">
        <v>3</v>
      </c>
      <c r="D349" s="201">
        <f t="shared" si="495"/>
        <v>0</v>
      </c>
      <c r="E349" s="201">
        <f t="shared" si="496"/>
        <v>47285.736960666669</v>
      </c>
      <c r="F349" s="201">
        <f t="shared" si="497"/>
        <v>0</v>
      </c>
      <c r="H349" s="91" t="s">
        <v>2340</v>
      </c>
      <c r="J349" s="201">
        <f>VLOOKUP(A349,Mapas!$B$1:$S$10689,15,FALSE)</f>
        <v>0</v>
      </c>
      <c r="K349" s="201">
        <f>VLOOKUP(A349,Mapas!$B$1:$S$10689,16,FALSE)</f>
        <v>36881.473333333335</v>
      </c>
      <c r="L349" s="201">
        <f>VLOOKUP(A349,Mapas!$B$1:$S$10689,17,FALSE)</f>
        <v>0</v>
      </c>
    </row>
    <row r="350" spans="1:12" x14ac:dyDescent="0.2">
      <c r="A350" s="393" t="s">
        <v>1336</v>
      </c>
      <c r="B350" s="91" t="s">
        <v>291</v>
      </c>
      <c r="C350" s="93" t="s">
        <v>3</v>
      </c>
      <c r="D350" s="201">
        <f t="shared" si="495"/>
        <v>0</v>
      </c>
      <c r="E350" s="201">
        <f t="shared" si="496"/>
        <v>17856.037478000002</v>
      </c>
      <c r="F350" s="201">
        <f t="shared" si="497"/>
        <v>0</v>
      </c>
      <c r="H350" s="91" t="s">
        <v>2340</v>
      </c>
      <c r="J350" s="201">
        <f>VLOOKUP(A350,Mapas!$B$1:$S$10689,15,FALSE)</f>
        <v>0</v>
      </c>
      <c r="K350" s="201">
        <f>VLOOKUP(A350,Mapas!$B$1:$S$10689,16,FALSE)</f>
        <v>13927.18</v>
      </c>
      <c r="L350" s="201">
        <f>VLOOKUP(A350,Mapas!$B$1:$S$10689,17,FALSE)</f>
        <v>0</v>
      </c>
    </row>
    <row r="351" spans="1:12" x14ac:dyDescent="0.2">
      <c r="A351" s="393" t="s">
        <v>1337</v>
      </c>
      <c r="B351" s="91" t="s">
        <v>292</v>
      </c>
      <c r="C351" s="93" t="s">
        <v>3</v>
      </c>
      <c r="D351" s="201">
        <f t="shared" si="495"/>
        <v>0</v>
      </c>
      <c r="E351" s="201">
        <f t="shared" si="496"/>
        <v>11669.524621666667</v>
      </c>
      <c r="F351" s="201">
        <f t="shared" si="497"/>
        <v>0</v>
      </c>
      <c r="H351" s="91" t="s">
        <v>2340</v>
      </c>
      <c r="J351" s="201">
        <f>VLOOKUP(A351,Mapas!$B$1:$S$10689,15,FALSE)</f>
        <v>0</v>
      </c>
      <c r="K351" s="201">
        <f>VLOOKUP(A351,Mapas!$B$1:$S$10689,16,FALSE)</f>
        <v>9101.8833333333332</v>
      </c>
      <c r="L351" s="201">
        <f>VLOOKUP(A351,Mapas!$B$1:$S$10689,17,FALSE)</f>
        <v>0</v>
      </c>
    </row>
    <row r="352" spans="1:12" x14ac:dyDescent="0.2">
      <c r="A352" s="393" t="s">
        <v>1338</v>
      </c>
      <c r="B352" s="91" t="s">
        <v>293</v>
      </c>
      <c r="C352" s="93" t="s">
        <v>3</v>
      </c>
      <c r="D352" s="201">
        <f t="shared" si="495"/>
        <v>0</v>
      </c>
      <c r="E352" s="201">
        <f t="shared" si="496"/>
        <v>40527.454514666664</v>
      </c>
      <c r="F352" s="201">
        <f t="shared" si="497"/>
        <v>0</v>
      </c>
      <c r="H352" s="91" t="s">
        <v>2340</v>
      </c>
      <c r="J352" s="201">
        <f>VLOOKUP(A352,Mapas!$B$1:$S$10689,15,FALSE)</f>
        <v>0</v>
      </c>
      <c r="K352" s="201">
        <f>VLOOKUP(A352,Mapas!$B$1:$S$10689,16,FALSE)</f>
        <v>31610.213333333333</v>
      </c>
      <c r="L352" s="201">
        <f>VLOOKUP(A352,Mapas!$B$1:$S$10689,17,FALSE)</f>
        <v>0</v>
      </c>
    </row>
    <row r="353" spans="1:12" x14ac:dyDescent="0.2">
      <c r="A353" s="393" t="s">
        <v>1339</v>
      </c>
      <c r="B353" s="91" t="s">
        <v>294</v>
      </c>
      <c r="C353" s="93" t="s">
        <v>3</v>
      </c>
      <c r="D353" s="201">
        <f t="shared" si="495"/>
        <v>0</v>
      </c>
      <c r="E353" s="201">
        <f t="shared" si="496"/>
        <v>47285.736960666669</v>
      </c>
      <c r="F353" s="201">
        <f t="shared" si="497"/>
        <v>0</v>
      </c>
      <c r="H353" s="91" t="s">
        <v>2340</v>
      </c>
      <c r="J353" s="201">
        <f>VLOOKUP(A353,Mapas!$B$1:$S$10689,15,FALSE)</f>
        <v>0</v>
      </c>
      <c r="K353" s="201">
        <f>VLOOKUP(A353,Mapas!$B$1:$S$10689,16,FALSE)</f>
        <v>36881.473333333335</v>
      </c>
      <c r="L353" s="201">
        <f>VLOOKUP(A353,Mapas!$B$1:$S$10689,17,FALSE)</f>
        <v>0</v>
      </c>
    </row>
    <row r="354" spans="1:12" x14ac:dyDescent="0.2">
      <c r="A354" s="393" t="s">
        <v>1340</v>
      </c>
      <c r="B354" s="91" t="s">
        <v>295</v>
      </c>
      <c r="C354" s="93" t="s">
        <v>3</v>
      </c>
      <c r="D354" s="201">
        <f t="shared" si="495"/>
        <v>0</v>
      </c>
      <c r="E354" s="201">
        <f t="shared" si="496"/>
        <v>40527.454514666664</v>
      </c>
      <c r="F354" s="201">
        <f t="shared" si="497"/>
        <v>0</v>
      </c>
      <c r="H354" s="91" t="s">
        <v>2340</v>
      </c>
      <c r="J354" s="201">
        <f>VLOOKUP(A354,Mapas!$B$1:$S$10689,15,FALSE)</f>
        <v>0</v>
      </c>
      <c r="K354" s="201">
        <f>VLOOKUP(A354,Mapas!$B$1:$S$10689,16,FALSE)</f>
        <v>31610.213333333333</v>
      </c>
      <c r="L354" s="201">
        <f>VLOOKUP(A354,Mapas!$B$1:$S$10689,17,FALSE)</f>
        <v>0</v>
      </c>
    </row>
    <row r="355" spans="1:12" x14ac:dyDescent="0.2">
      <c r="A355" s="393" t="s">
        <v>1341</v>
      </c>
      <c r="B355" s="91" t="s">
        <v>296</v>
      </c>
      <c r="C355" s="93" t="s">
        <v>3</v>
      </c>
      <c r="D355" s="201">
        <f t="shared" si="495"/>
        <v>0</v>
      </c>
      <c r="E355" s="201">
        <f t="shared" si="496"/>
        <v>47285.736960666669</v>
      </c>
      <c r="F355" s="201">
        <f t="shared" si="497"/>
        <v>0</v>
      </c>
      <c r="H355" s="91" t="s">
        <v>2340</v>
      </c>
      <c r="J355" s="201">
        <f>VLOOKUP(A355,Mapas!$B$1:$S$10689,15,FALSE)</f>
        <v>0</v>
      </c>
      <c r="K355" s="201">
        <f>VLOOKUP(A355,Mapas!$B$1:$S$10689,16,FALSE)</f>
        <v>36881.473333333335</v>
      </c>
      <c r="L355" s="201">
        <f>VLOOKUP(A355,Mapas!$B$1:$S$10689,17,FALSE)</f>
        <v>0</v>
      </c>
    </row>
    <row r="356" spans="1:12" x14ac:dyDescent="0.2">
      <c r="A356" s="393" t="s">
        <v>1342</v>
      </c>
      <c r="B356" s="91" t="s">
        <v>297</v>
      </c>
      <c r="C356" s="93" t="s">
        <v>3</v>
      </c>
      <c r="D356" s="201">
        <f t="shared" si="495"/>
        <v>0</v>
      </c>
      <c r="E356" s="201">
        <f t="shared" si="496"/>
        <v>63940.535203566673</v>
      </c>
      <c r="F356" s="201">
        <f t="shared" si="497"/>
        <v>0</v>
      </c>
      <c r="H356" s="91" t="s">
        <v>2340</v>
      </c>
      <c r="J356" s="201">
        <f>VLOOKUP(A356,Mapas!$B$1:$S$10689,15,FALSE)</f>
        <v>0</v>
      </c>
      <c r="K356" s="201">
        <f>VLOOKUP(A356,Mapas!$B$1:$S$10689,16,FALSE)</f>
        <v>49871.722333333339</v>
      </c>
      <c r="L356" s="201">
        <f>VLOOKUP(A356,Mapas!$B$1:$S$10689,17,FALSE)</f>
        <v>0</v>
      </c>
    </row>
    <row r="357" spans="1:12" x14ac:dyDescent="0.2">
      <c r="A357" s="393" t="s">
        <v>1343</v>
      </c>
      <c r="B357" s="91" t="s">
        <v>298</v>
      </c>
      <c r="C357" s="93" t="s">
        <v>3</v>
      </c>
      <c r="D357" s="201">
        <f t="shared" si="495"/>
        <v>0</v>
      </c>
      <c r="E357" s="201">
        <f t="shared" si="496"/>
        <v>48811.159454433335</v>
      </c>
      <c r="F357" s="201">
        <f t="shared" si="497"/>
        <v>0</v>
      </c>
      <c r="H357" s="91" t="s">
        <v>2340</v>
      </c>
      <c r="J357" s="201">
        <f>VLOOKUP(A357,Mapas!$B$1:$S$10689,15,FALSE)</f>
        <v>0</v>
      </c>
      <c r="K357" s="201">
        <f>VLOOKUP(A357,Mapas!$B$1:$S$10689,16,FALSE)</f>
        <v>38071.257666666665</v>
      </c>
      <c r="L357" s="201">
        <f>VLOOKUP(A357,Mapas!$B$1:$S$10689,17,FALSE)</f>
        <v>0</v>
      </c>
    </row>
    <row r="358" spans="1:12" x14ac:dyDescent="0.2">
      <c r="A358" s="393" t="s">
        <v>1344</v>
      </c>
      <c r="B358" s="91" t="s">
        <v>299</v>
      </c>
      <c r="C358" s="93" t="s">
        <v>3</v>
      </c>
      <c r="D358" s="201">
        <f t="shared" si="495"/>
        <v>0</v>
      </c>
      <c r="E358" s="201">
        <f t="shared" si="496"/>
        <v>5678.2072166666667</v>
      </c>
      <c r="F358" s="201">
        <f t="shared" si="497"/>
        <v>0</v>
      </c>
      <c r="H358" s="91" t="s">
        <v>2340</v>
      </c>
      <c r="J358" s="201">
        <f>VLOOKUP(A358,Mapas!$B$1:$S$10689,15,FALSE)</f>
        <v>0</v>
      </c>
      <c r="K358" s="201">
        <f>VLOOKUP(A358,Mapas!$B$1:$S$10689,16,FALSE)</f>
        <v>4428.833333333333</v>
      </c>
      <c r="L358" s="201">
        <f>VLOOKUP(A358,Mapas!$B$1:$S$10689,17,FALSE)</f>
        <v>0</v>
      </c>
    </row>
    <row r="359" spans="1:12" x14ac:dyDescent="0.2">
      <c r="A359" s="393" t="s">
        <v>1345</v>
      </c>
      <c r="B359" s="91" t="s">
        <v>300</v>
      </c>
      <c r="C359" s="93" t="s">
        <v>3</v>
      </c>
      <c r="D359" s="201">
        <f t="shared" si="495"/>
        <v>0</v>
      </c>
      <c r="E359" s="201">
        <f t="shared" si="496"/>
        <v>5678.2072166666667</v>
      </c>
      <c r="F359" s="201">
        <f t="shared" si="497"/>
        <v>0</v>
      </c>
      <c r="H359" s="91" t="s">
        <v>2340</v>
      </c>
      <c r="J359" s="201">
        <f>VLOOKUP(A359,Mapas!$B$1:$S$10689,15,FALSE)</f>
        <v>0</v>
      </c>
      <c r="K359" s="201">
        <f>VLOOKUP(A359,Mapas!$B$1:$S$10689,16,FALSE)</f>
        <v>4428.833333333333</v>
      </c>
      <c r="L359" s="201">
        <f>VLOOKUP(A359,Mapas!$B$1:$S$10689,17,FALSE)</f>
        <v>0</v>
      </c>
    </row>
    <row r="360" spans="1:12" x14ac:dyDescent="0.2">
      <c r="A360" s="393" t="s">
        <v>1346</v>
      </c>
      <c r="B360" s="91" t="s">
        <v>301</v>
      </c>
      <c r="C360" s="93" t="s">
        <v>3</v>
      </c>
      <c r="D360" s="201">
        <f t="shared" si="495"/>
        <v>0</v>
      </c>
      <c r="E360" s="201">
        <f t="shared" si="496"/>
        <v>2181.6299073333334</v>
      </c>
      <c r="F360" s="201">
        <f t="shared" si="497"/>
        <v>0</v>
      </c>
      <c r="H360" s="91" t="s">
        <v>2340</v>
      </c>
      <c r="J360" s="201">
        <f>VLOOKUP(A360,Mapas!$B$1:$S$10689,15,FALSE)</f>
        <v>0</v>
      </c>
      <c r="K360" s="201">
        <f>VLOOKUP(A360,Mapas!$B$1:$S$10689,16,FALSE)</f>
        <v>1701.6066666666666</v>
      </c>
      <c r="L360" s="201">
        <f>VLOOKUP(A360,Mapas!$B$1:$S$10689,17,FALSE)</f>
        <v>0</v>
      </c>
    </row>
    <row r="361" spans="1:12" x14ac:dyDescent="0.2">
      <c r="A361" s="393" t="s">
        <v>1347</v>
      </c>
      <c r="B361" s="91" t="s">
        <v>302</v>
      </c>
      <c r="C361" s="93" t="s">
        <v>3</v>
      </c>
      <c r="D361" s="201">
        <f t="shared" si="495"/>
        <v>0</v>
      </c>
      <c r="E361" s="201">
        <f t="shared" si="496"/>
        <v>42517.953227666665</v>
      </c>
      <c r="F361" s="201">
        <f t="shared" si="497"/>
        <v>0</v>
      </c>
      <c r="H361" s="91" t="s">
        <v>2340</v>
      </c>
      <c r="J361" s="201">
        <f>VLOOKUP(A361,Mapas!$B$1:$S$10689,15,FALSE)</f>
        <v>0</v>
      </c>
      <c r="K361" s="201">
        <f>VLOOKUP(A361,Mapas!$B$1:$S$10689,16,FALSE)</f>
        <v>33162.743333333332</v>
      </c>
      <c r="L361" s="201">
        <f>VLOOKUP(A361,Mapas!$B$1:$S$10689,17,FALSE)</f>
        <v>0</v>
      </c>
    </row>
    <row r="362" spans="1:12" x14ac:dyDescent="0.2">
      <c r="A362" s="393" t="s">
        <v>1348</v>
      </c>
      <c r="B362" s="91" t="s">
        <v>303</v>
      </c>
      <c r="C362" s="93" t="s">
        <v>3</v>
      </c>
      <c r="D362" s="201">
        <f t="shared" si="495"/>
        <v>0</v>
      </c>
      <c r="E362" s="201">
        <f t="shared" si="496"/>
        <v>42517.953227666665</v>
      </c>
      <c r="F362" s="201">
        <f t="shared" si="497"/>
        <v>0</v>
      </c>
      <c r="H362" s="91" t="s">
        <v>2340</v>
      </c>
      <c r="J362" s="201">
        <f>VLOOKUP(A362,Mapas!$B$1:$S$10689,15,FALSE)</f>
        <v>0</v>
      </c>
      <c r="K362" s="201">
        <f>VLOOKUP(A362,Mapas!$B$1:$S$10689,16,FALSE)</f>
        <v>33162.743333333332</v>
      </c>
      <c r="L362" s="201">
        <f>VLOOKUP(A362,Mapas!$B$1:$S$10689,17,FALSE)</f>
        <v>0</v>
      </c>
    </row>
    <row r="363" spans="1:12" x14ac:dyDescent="0.2">
      <c r="A363" s="393" t="s">
        <v>1349</v>
      </c>
      <c r="B363" s="91" t="s">
        <v>304</v>
      </c>
      <c r="C363" s="93" t="s">
        <v>3</v>
      </c>
      <c r="D363" s="201">
        <f t="shared" si="495"/>
        <v>0</v>
      </c>
      <c r="E363" s="201">
        <f t="shared" si="496"/>
        <v>28629.946871</v>
      </c>
      <c r="F363" s="201">
        <f t="shared" si="497"/>
        <v>0</v>
      </c>
      <c r="H363" s="91" t="s">
        <v>2340</v>
      </c>
      <c r="J363" s="201">
        <f>VLOOKUP(A363,Mapas!$B$1:$S$10689,15,FALSE)</f>
        <v>0</v>
      </c>
      <c r="K363" s="201">
        <f>VLOOKUP(A363,Mapas!$B$1:$S$10689,16,FALSE)</f>
        <v>22330.51</v>
      </c>
      <c r="L363" s="201">
        <f>VLOOKUP(A363,Mapas!$B$1:$S$10689,17,FALSE)</f>
        <v>0</v>
      </c>
    </row>
    <row r="364" spans="1:12" x14ac:dyDescent="0.2">
      <c r="A364" s="393" t="s">
        <v>1350</v>
      </c>
      <c r="B364" s="91" t="s">
        <v>305</v>
      </c>
      <c r="C364" s="93" t="s">
        <v>3</v>
      </c>
      <c r="D364" s="201">
        <f t="shared" si="495"/>
        <v>0</v>
      </c>
      <c r="E364" s="201">
        <f t="shared" si="496"/>
        <v>5445.1769943333338</v>
      </c>
      <c r="F364" s="201">
        <f t="shared" si="497"/>
        <v>0</v>
      </c>
      <c r="H364" s="91" t="s">
        <v>2340</v>
      </c>
      <c r="J364" s="201">
        <f>VLOOKUP(A364,Mapas!$B$1:$S$10689,15,FALSE)</f>
        <v>0</v>
      </c>
      <c r="K364" s="201">
        <f>VLOOKUP(A364,Mapas!$B$1:$S$10689,16,FALSE)</f>
        <v>4247.0766666666668</v>
      </c>
      <c r="L364" s="201">
        <f>VLOOKUP(A364,Mapas!$B$1:$S$10689,17,FALSE)</f>
        <v>0</v>
      </c>
    </row>
    <row r="365" spans="1:12" x14ac:dyDescent="0.2">
      <c r="A365" s="393" t="s">
        <v>1351</v>
      </c>
      <c r="B365" s="91" t="s">
        <v>307</v>
      </c>
      <c r="C365" s="93" t="s">
        <v>26</v>
      </c>
      <c r="D365" s="201">
        <f t="shared" si="495"/>
        <v>0</v>
      </c>
      <c r="E365" s="201">
        <f t="shared" si="496"/>
        <v>135774.39000000001</v>
      </c>
      <c r="F365" s="201">
        <f t="shared" si="497"/>
        <v>0</v>
      </c>
      <c r="H365" s="91" t="s">
        <v>2340</v>
      </c>
      <c r="J365" s="201">
        <f>VLOOKUP(A365,Mapas!$B$1:$S$10689,15,FALSE)</f>
        <v>0</v>
      </c>
      <c r="K365" s="201">
        <f>VLOOKUP(A365,Mapas!$B$1:$S$10689,16,FALSE)</f>
        <v>105900</v>
      </c>
      <c r="L365" s="201">
        <f>VLOOKUP(A365,Mapas!$B$1:$S$10689,17,FALSE)</f>
        <v>0</v>
      </c>
    </row>
    <row r="366" spans="1:12" x14ac:dyDescent="0.2">
      <c r="A366" s="393" t="s">
        <v>1352</v>
      </c>
      <c r="B366" s="91" t="s">
        <v>308</v>
      </c>
      <c r="C366" s="93" t="s">
        <v>26</v>
      </c>
      <c r="D366" s="201">
        <f t="shared" si="495"/>
        <v>0</v>
      </c>
      <c r="E366" s="201">
        <f t="shared" si="496"/>
        <v>622889.64326599997</v>
      </c>
      <c r="F366" s="201">
        <f t="shared" si="497"/>
        <v>0</v>
      </c>
      <c r="H366" s="91" t="s">
        <v>2340</v>
      </c>
      <c r="J366" s="201">
        <f>VLOOKUP(A366,Mapas!$B$1:$S$10689,15,FALSE)</f>
        <v>0</v>
      </c>
      <c r="K366" s="201">
        <f>VLOOKUP(A366,Mapas!$B$1:$S$10689,16,FALSE)</f>
        <v>485835.45999999996</v>
      </c>
      <c r="L366" s="201">
        <f>VLOOKUP(A366,Mapas!$B$1:$S$10689,17,FALSE)</f>
        <v>0</v>
      </c>
    </row>
    <row r="367" spans="1:12" x14ac:dyDescent="0.2">
      <c r="A367" s="393" t="s">
        <v>1353</v>
      </c>
      <c r="B367" s="91" t="s">
        <v>1391</v>
      </c>
      <c r="C367" s="93" t="s">
        <v>3</v>
      </c>
      <c r="D367" s="201">
        <f t="shared" si="495"/>
        <v>0</v>
      </c>
      <c r="E367" s="201">
        <f t="shared" si="496"/>
        <v>320.52499999999998</v>
      </c>
      <c r="F367" s="201">
        <f t="shared" si="497"/>
        <v>0</v>
      </c>
      <c r="H367" s="91" t="s">
        <v>2340</v>
      </c>
      <c r="J367" s="201">
        <f>VLOOKUP(A367,Mapas!$B$1:$S$10689,15,FALSE)</f>
        <v>0</v>
      </c>
      <c r="K367" s="201">
        <f>VLOOKUP(A367,Mapas!$B$1:$S$10689,16,FALSE)</f>
        <v>250</v>
      </c>
      <c r="L367" s="201">
        <f>VLOOKUP(A367,Mapas!$B$1:$S$10689,17,FALSE)</f>
        <v>0</v>
      </c>
    </row>
    <row r="368" spans="1:12" x14ac:dyDescent="0.2">
      <c r="A368" s="393" t="s">
        <v>1354</v>
      </c>
      <c r="B368" s="91" t="s">
        <v>1402</v>
      </c>
      <c r="C368" s="93" t="s">
        <v>3</v>
      </c>
      <c r="D368" s="201">
        <f t="shared" si="495"/>
        <v>0</v>
      </c>
      <c r="E368" s="201">
        <f t="shared" si="496"/>
        <v>705.15499999999997</v>
      </c>
      <c r="F368" s="201">
        <f t="shared" si="497"/>
        <v>0</v>
      </c>
      <c r="H368" s="91" t="s">
        <v>2340</v>
      </c>
      <c r="J368" s="201">
        <f>VLOOKUP(A368,Mapas!$B$1:$S$10689,15,FALSE)</f>
        <v>0</v>
      </c>
      <c r="K368" s="201">
        <f>VLOOKUP(A368,Mapas!$B$1:$S$10689,16,FALSE)</f>
        <v>550</v>
      </c>
      <c r="L368" s="201">
        <f>VLOOKUP(A368,Mapas!$B$1:$S$10689,17,FALSE)</f>
        <v>0</v>
      </c>
    </row>
    <row r="369" spans="1:12" x14ac:dyDescent="0.2">
      <c r="A369" s="393" t="s">
        <v>1355</v>
      </c>
      <c r="B369" s="91" t="s">
        <v>1392</v>
      </c>
      <c r="C369" s="93" t="s">
        <v>2</v>
      </c>
      <c r="D369" s="201">
        <f t="shared" si="495"/>
        <v>0</v>
      </c>
      <c r="E369" s="201">
        <f t="shared" si="496"/>
        <v>6718.9089347079034</v>
      </c>
      <c r="F369" s="201">
        <f t="shared" si="497"/>
        <v>0</v>
      </c>
      <c r="H369" s="91" t="s">
        <v>2340</v>
      </c>
      <c r="J369" s="201">
        <f>VLOOKUP(A369,Mapas!$B$1:$S$10689,15,FALSE)</f>
        <v>0</v>
      </c>
      <c r="K369" s="201">
        <f>VLOOKUP(A369,Mapas!$B$1:$S$10689,16,FALSE)</f>
        <v>5240.549828178694</v>
      </c>
      <c r="L369" s="201">
        <f>VLOOKUP(A369,Mapas!$B$1:$S$10689,17,FALSE)</f>
        <v>0</v>
      </c>
    </row>
    <row r="370" spans="1:12" x14ac:dyDescent="0.2">
      <c r="A370" s="393" t="s">
        <v>1356</v>
      </c>
      <c r="B370" s="91" t="s">
        <v>1864</v>
      </c>
      <c r="D370" s="201">
        <f t="shared" ref="D370:D373" si="498">J370*$J$4</f>
        <v>0</v>
      </c>
      <c r="E370" s="201">
        <f t="shared" ref="E370:E373" si="499">K370*$J$4</f>
        <v>1474.415</v>
      </c>
      <c r="F370" s="201">
        <f t="shared" ref="F370:F373" si="500">L370*$J$4</f>
        <v>0</v>
      </c>
      <c r="H370" s="91" t="s">
        <v>2340</v>
      </c>
      <c r="J370" s="201">
        <f>VLOOKUP(A370,Mapas!$B$1:$S$10689,15,FALSE)</f>
        <v>0</v>
      </c>
      <c r="K370" s="201">
        <f>VLOOKUP(A370,Mapas!$B$1:$S$10689,16,FALSE)</f>
        <v>1150</v>
      </c>
      <c r="L370" s="201">
        <f>VLOOKUP(A370,Mapas!$B$1:$S$10689,17,FALSE)</f>
        <v>0</v>
      </c>
    </row>
    <row r="371" spans="1:12" x14ac:dyDescent="0.2">
      <c r="A371" s="393" t="s">
        <v>1357</v>
      </c>
      <c r="B371" s="91" t="s">
        <v>1863</v>
      </c>
      <c r="D371" s="201">
        <f t="shared" si="498"/>
        <v>0</v>
      </c>
      <c r="E371" s="201">
        <f t="shared" si="499"/>
        <v>2692.41</v>
      </c>
      <c r="F371" s="201">
        <f t="shared" si="500"/>
        <v>0</v>
      </c>
      <c r="H371" s="91" t="s">
        <v>2340</v>
      </c>
      <c r="J371" s="201">
        <f>VLOOKUP(A371,Mapas!$B$1:$S$10689,15,FALSE)</f>
        <v>0</v>
      </c>
      <c r="K371" s="201">
        <f>VLOOKUP(A371,Mapas!$B$1:$S$10689,16,FALSE)</f>
        <v>2100</v>
      </c>
      <c r="L371" s="201">
        <f>VLOOKUP(A371,Mapas!$B$1:$S$10689,17,FALSE)</f>
        <v>0</v>
      </c>
    </row>
    <row r="372" spans="1:12" x14ac:dyDescent="0.2">
      <c r="A372" s="393" t="s">
        <v>1358</v>
      </c>
      <c r="B372" s="91" t="s">
        <v>1865</v>
      </c>
      <c r="D372" s="201">
        <f t="shared" si="498"/>
        <v>0</v>
      </c>
      <c r="E372" s="201">
        <f t="shared" si="499"/>
        <v>2307.7800000000002</v>
      </c>
      <c r="F372" s="201">
        <f t="shared" si="500"/>
        <v>0</v>
      </c>
      <c r="H372" s="91" t="s">
        <v>2340</v>
      </c>
      <c r="J372" s="201">
        <f>VLOOKUP(A372,Mapas!$B$1:$S$10689,15,FALSE)</f>
        <v>0</v>
      </c>
      <c r="K372" s="201">
        <f>VLOOKUP(A372,Mapas!$B$1:$S$10689,16,FALSE)</f>
        <v>1800</v>
      </c>
      <c r="L372" s="201">
        <f>VLOOKUP(A372,Mapas!$B$1:$S$10689,17,FALSE)</f>
        <v>0</v>
      </c>
    </row>
    <row r="373" spans="1:12" x14ac:dyDescent="0.2">
      <c r="A373" s="393" t="s">
        <v>1359</v>
      </c>
      <c r="B373" s="91" t="s">
        <v>1866</v>
      </c>
      <c r="D373" s="201">
        <f t="shared" si="498"/>
        <v>0</v>
      </c>
      <c r="E373" s="201">
        <f t="shared" si="499"/>
        <v>1692.3720000000001</v>
      </c>
      <c r="F373" s="201">
        <f t="shared" si="500"/>
        <v>0</v>
      </c>
      <c r="H373" s="91" t="s">
        <v>2340</v>
      </c>
      <c r="J373" s="201">
        <f>VLOOKUP(A373,Mapas!$B$1:$S$10689,15,FALSE)</f>
        <v>0</v>
      </c>
      <c r="K373" s="201">
        <f>VLOOKUP(A373,Mapas!$B$1:$S$10689,16,FALSE)</f>
        <v>1320</v>
      </c>
      <c r="L373" s="201">
        <f>VLOOKUP(A373,Mapas!$B$1:$S$10689,17,FALSE)</f>
        <v>0</v>
      </c>
    </row>
    <row r="374" spans="1:12" x14ac:dyDescent="0.2">
      <c r="A374" s="393" t="s">
        <v>1360</v>
      </c>
      <c r="B374" s="91" t="s">
        <v>1419</v>
      </c>
      <c r="C374" s="93" t="s">
        <v>26</v>
      </c>
      <c r="D374" s="201">
        <f t="shared" si="495"/>
        <v>0</v>
      </c>
      <c r="E374" s="201">
        <f t="shared" si="496"/>
        <v>0</v>
      </c>
      <c r="F374" s="201">
        <f t="shared" si="497"/>
        <v>241291.22</v>
      </c>
      <c r="H374" s="91" t="s">
        <v>2340</v>
      </c>
      <c r="J374" s="201">
        <f>VLOOKUP(A374,Mapas!$B$1:$S$10689,15,FALSE)</f>
        <v>0</v>
      </c>
      <c r="K374" s="201">
        <f>VLOOKUP(A374,Mapas!$B$1:$S$10689,16,FALSE)</f>
        <v>0</v>
      </c>
      <c r="L374" s="201">
        <f>VLOOKUP(A374,Mapas!$B$1:$S$10689,17,FALSE)</f>
        <v>188200</v>
      </c>
    </row>
    <row r="375" spans="1:12" x14ac:dyDescent="0.2">
      <c r="A375" s="393" t="s">
        <v>1361</v>
      </c>
      <c r="B375" s="91" t="s">
        <v>1406</v>
      </c>
      <c r="C375" s="93" t="s">
        <v>26</v>
      </c>
      <c r="D375" s="201">
        <f t="shared" si="495"/>
        <v>0</v>
      </c>
      <c r="E375" s="201">
        <f t="shared" si="496"/>
        <v>0</v>
      </c>
      <c r="F375" s="201">
        <f t="shared" si="497"/>
        <v>365238.23749999999</v>
      </c>
      <c r="H375" s="91" t="s">
        <v>2340</v>
      </c>
      <c r="J375" s="201">
        <f>VLOOKUP(A375,Mapas!$B$1:$S$10689,15,FALSE)</f>
        <v>0</v>
      </c>
      <c r="K375" s="201">
        <f>VLOOKUP(A375,Mapas!$B$1:$S$10689,16,FALSE)</f>
        <v>0</v>
      </c>
      <c r="L375" s="201">
        <f>VLOOKUP(A375,Mapas!$B$1:$S$10689,17,FALSE)</f>
        <v>284875</v>
      </c>
    </row>
    <row r="376" spans="1:12" x14ac:dyDescent="0.2">
      <c r="A376" s="393" t="s">
        <v>1362</v>
      </c>
      <c r="B376" s="91" t="s">
        <v>1431</v>
      </c>
      <c r="C376" s="93" t="s">
        <v>1</v>
      </c>
      <c r="D376" s="201">
        <f t="shared" si="495"/>
        <v>0</v>
      </c>
      <c r="E376" s="201">
        <f t="shared" si="496"/>
        <v>34.234977788914556</v>
      </c>
      <c r="F376" s="201">
        <f t="shared" si="497"/>
        <v>0</v>
      </c>
      <c r="H376" s="91" t="s">
        <v>2340</v>
      </c>
      <c r="J376" s="201">
        <f>VLOOKUP(A376,Mapas!$B$1:$S$10689,15,FALSE)</f>
        <v>0</v>
      </c>
      <c r="K376" s="201">
        <f>VLOOKUP(A376,Mapas!$B$1:$S$10689,16,FALSE)</f>
        <v>26.702267989169762</v>
      </c>
      <c r="L376" s="201">
        <f>VLOOKUP(A376,Mapas!$B$1:$S$10689,17,FALSE)</f>
        <v>0</v>
      </c>
    </row>
    <row r="377" spans="1:12" x14ac:dyDescent="0.2">
      <c r="A377" s="393" t="s">
        <v>1363</v>
      </c>
      <c r="B377" s="91" t="s">
        <v>270</v>
      </c>
      <c r="C377" s="93" t="s">
        <v>57</v>
      </c>
      <c r="D377" s="201">
        <f t="shared" si="495"/>
        <v>0</v>
      </c>
      <c r="E377" s="201">
        <f t="shared" si="496"/>
        <v>1895.8605014999998</v>
      </c>
      <c r="F377" s="201">
        <f t="shared" si="497"/>
        <v>0</v>
      </c>
      <c r="H377" s="91" t="s">
        <v>2340</v>
      </c>
      <c r="J377" s="201">
        <f>VLOOKUP(A377,Mapas!$B$1:$S$10689,15,FALSE)</f>
        <v>0</v>
      </c>
      <c r="K377" s="201">
        <f>VLOOKUP(A377,Mapas!$B$1:$S$10689,16,FALSE)</f>
        <v>1478.7149999999999</v>
      </c>
      <c r="L377" s="201">
        <f>VLOOKUP(A377,Mapas!$B$1:$S$10689,17,FALSE)</f>
        <v>0</v>
      </c>
    </row>
    <row r="378" spans="1:12" x14ac:dyDescent="0.2">
      <c r="A378" s="393" t="s">
        <v>1364</v>
      </c>
      <c r="B378" s="91" t="s">
        <v>1434</v>
      </c>
      <c r="C378" s="93" t="s">
        <v>57</v>
      </c>
      <c r="D378" s="201">
        <f t="shared" si="495"/>
        <v>43.683130075068895</v>
      </c>
      <c r="E378" s="201">
        <f t="shared" si="496"/>
        <v>683.72030430858365</v>
      </c>
      <c r="F378" s="201">
        <f t="shared" si="497"/>
        <v>0</v>
      </c>
      <c r="H378" s="91" t="s">
        <v>2340</v>
      </c>
      <c r="J378" s="201">
        <f>VLOOKUP(A378,Mapas!$B$1:$S$10689,15,FALSE)</f>
        <v>34.071546739777624</v>
      </c>
      <c r="K378" s="201">
        <f>VLOOKUP(A378,Mapas!$B$1:$S$10689,16,FALSE)</f>
        <v>533.2815726609341</v>
      </c>
      <c r="L378" s="201">
        <f>VLOOKUP(A378,Mapas!$B$1:$S$10689,17,FALSE)</f>
        <v>0</v>
      </c>
    </row>
    <row r="379" spans="1:12" x14ac:dyDescent="0.2">
      <c r="A379" s="393" t="s">
        <v>1365</v>
      </c>
      <c r="B379" s="91" t="s">
        <v>1435</v>
      </c>
      <c r="C379" s="93" t="s">
        <v>57</v>
      </c>
      <c r="D379" s="201">
        <f t="shared" si="495"/>
        <v>43.683130075068895</v>
      </c>
      <c r="E379" s="201">
        <f t="shared" si="496"/>
        <v>851.82400886298421</v>
      </c>
      <c r="F379" s="201">
        <f t="shared" si="497"/>
        <v>0</v>
      </c>
      <c r="H379" s="91" t="s">
        <v>2340</v>
      </c>
      <c r="J379" s="201">
        <f>VLOOKUP(A379,Mapas!$B$1:$S$10689,15,FALSE)</f>
        <v>34.071546739777624</v>
      </c>
      <c r="K379" s="201">
        <f>VLOOKUP(A379,Mapas!$B$1:$S$10689,16,FALSE)</f>
        <v>664.3974798088949</v>
      </c>
      <c r="L379" s="201">
        <f>VLOOKUP(A379,Mapas!$B$1:$S$10689,17,FALSE)</f>
        <v>0</v>
      </c>
    </row>
    <row r="380" spans="1:12" x14ac:dyDescent="0.2">
      <c r="A380" s="393" t="s">
        <v>1366</v>
      </c>
      <c r="B380" s="91" t="s">
        <v>1446</v>
      </c>
      <c r="C380" s="93" t="s">
        <v>57</v>
      </c>
      <c r="D380" s="201">
        <f t="shared" si="495"/>
        <v>0</v>
      </c>
      <c r="E380" s="201">
        <f t="shared" si="496"/>
        <v>784.90162000000009</v>
      </c>
      <c r="F380" s="201">
        <f t="shared" si="497"/>
        <v>0</v>
      </c>
      <c r="H380" s="91" t="s">
        <v>2340</v>
      </c>
      <c r="J380" s="201">
        <f>VLOOKUP(A380,Mapas!$B$1:$S$10689,15,FALSE)</f>
        <v>0</v>
      </c>
      <c r="K380" s="201">
        <f>VLOOKUP(A380,Mapas!$B$1:$S$10689,16,FALSE)</f>
        <v>612.20000000000005</v>
      </c>
      <c r="L380" s="201">
        <f>VLOOKUP(A380,Mapas!$B$1:$S$10689,17,FALSE)</f>
        <v>0</v>
      </c>
    </row>
    <row r="381" spans="1:12" x14ac:dyDescent="0.2">
      <c r="A381" s="393" t="s">
        <v>1367</v>
      </c>
      <c r="B381" s="91" t="s">
        <v>1448</v>
      </c>
      <c r="C381" s="93" t="s">
        <v>57</v>
      </c>
      <c r="D381" s="201">
        <f t="shared" si="495"/>
        <v>56.989345000000007</v>
      </c>
      <c r="E381" s="201">
        <f t="shared" si="496"/>
        <v>63.38355266922094</v>
      </c>
      <c r="F381" s="201">
        <f t="shared" si="497"/>
        <v>0</v>
      </c>
      <c r="H381" s="91" t="s">
        <v>2340</v>
      </c>
      <c r="J381" s="201">
        <f>VLOOKUP(A381,Mapas!$B$1:$S$10689,15,FALSE)</f>
        <v>44.45</v>
      </c>
      <c r="K381" s="201">
        <f>VLOOKUP(A381,Mapas!$B$1:$S$10689,16,FALSE)</f>
        <v>49.437292464878666</v>
      </c>
      <c r="L381" s="201">
        <f>VLOOKUP(A381,Mapas!$B$1:$S$10689,17,FALSE)</f>
        <v>0</v>
      </c>
    </row>
    <row r="382" spans="1:12" x14ac:dyDescent="0.2">
      <c r="A382" s="393" t="s">
        <v>1368</v>
      </c>
      <c r="B382" s="91" t="s">
        <v>1449</v>
      </c>
      <c r="C382" s="93" t="s">
        <v>57</v>
      </c>
      <c r="D382" s="201">
        <f t="shared" si="495"/>
        <v>60.194595000000007</v>
      </c>
      <c r="E382" s="201">
        <f t="shared" si="496"/>
        <v>46.450483000000006</v>
      </c>
      <c r="F382" s="201">
        <f t="shared" si="497"/>
        <v>0</v>
      </c>
      <c r="H382" s="91" t="s">
        <v>2340</v>
      </c>
      <c r="J382" s="201">
        <f>VLOOKUP(A382,Mapas!$B$1:$S$10689,15,FALSE)</f>
        <v>46.95</v>
      </c>
      <c r="K382" s="201">
        <f>VLOOKUP(A382,Mapas!$B$1:$S$10689,16,FALSE)</f>
        <v>36.230000000000004</v>
      </c>
      <c r="L382" s="201">
        <f>VLOOKUP(A382,Mapas!$B$1:$S$10689,17,FALSE)</f>
        <v>0</v>
      </c>
    </row>
    <row r="383" spans="1:12" x14ac:dyDescent="0.2">
      <c r="A383" s="393" t="s">
        <v>1369</v>
      </c>
      <c r="B383" s="91" t="s">
        <v>1447</v>
      </c>
      <c r="C383" s="93" t="s">
        <v>57</v>
      </c>
      <c r="D383" s="201">
        <f t="shared" si="495"/>
        <v>70.515500000000003</v>
      </c>
      <c r="E383" s="201">
        <f t="shared" si="496"/>
        <v>126.43997061898681</v>
      </c>
      <c r="F383" s="201">
        <f t="shared" si="497"/>
        <v>0</v>
      </c>
      <c r="H383" s="91" t="s">
        <v>2340</v>
      </c>
      <c r="J383" s="201">
        <f>VLOOKUP(A383,Mapas!$B$1:$S$10689,15,FALSE)</f>
        <v>55</v>
      </c>
      <c r="K383" s="201">
        <f>VLOOKUP(A383,Mapas!$B$1:$S$10689,16,FALSE)</f>
        <v>98.619429544487019</v>
      </c>
      <c r="L383" s="201">
        <f>VLOOKUP(A383,Mapas!$B$1:$S$10689,17,FALSE)</f>
        <v>0</v>
      </c>
    </row>
    <row r="384" spans="1:12" x14ac:dyDescent="0.2">
      <c r="A384" s="393" t="s">
        <v>1862</v>
      </c>
      <c r="B384" s="91" t="s">
        <v>1460</v>
      </c>
      <c r="C384" s="93" t="s">
        <v>3</v>
      </c>
      <c r="D384" s="201">
        <f t="shared" si="495"/>
        <v>0</v>
      </c>
      <c r="E384" s="201">
        <f t="shared" si="496"/>
        <v>0</v>
      </c>
      <c r="F384" s="201">
        <f t="shared" si="497"/>
        <v>7051.55</v>
      </c>
      <c r="H384" s="91" t="s">
        <v>2340</v>
      </c>
      <c r="J384" s="201">
        <f>VLOOKUP(A384,Mapas!$B$1:$S$10689,15,FALSE)</f>
        <v>0</v>
      </c>
      <c r="K384" s="201">
        <f>VLOOKUP(A384,Mapas!$B$1:$S$10689,16,FALSE)</f>
        <v>0</v>
      </c>
      <c r="L384" s="201">
        <f>VLOOKUP(A384,Mapas!$B$1:$S$10689,17,FALSE)</f>
        <v>5500</v>
      </c>
    </row>
    <row r="385" spans="1:12" x14ac:dyDescent="0.2">
      <c r="A385" s="393" t="s">
        <v>1370</v>
      </c>
      <c r="B385" s="91" t="s">
        <v>1461</v>
      </c>
      <c r="C385" s="93" t="s">
        <v>3</v>
      </c>
      <c r="D385" s="201">
        <f t="shared" si="495"/>
        <v>0</v>
      </c>
      <c r="E385" s="201">
        <f t="shared" si="496"/>
        <v>0</v>
      </c>
      <c r="F385" s="201">
        <f t="shared" si="497"/>
        <v>18526.345000000001</v>
      </c>
      <c r="H385" s="91" t="s">
        <v>2340</v>
      </c>
      <c r="J385" s="201">
        <f>VLOOKUP(A385,Mapas!$B$1:$S$10689,15,FALSE)</f>
        <v>0</v>
      </c>
      <c r="K385" s="201">
        <f>VLOOKUP(A385,Mapas!$B$1:$S$10689,16,FALSE)</f>
        <v>0</v>
      </c>
      <c r="L385" s="201">
        <f>VLOOKUP(A385,Mapas!$B$1:$S$10689,17,FALSE)</f>
        <v>14450</v>
      </c>
    </row>
    <row r="386" spans="1:12" x14ac:dyDescent="0.2">
      <c r="A386" s="393" t="s">
        <v>1371</v>
      </c>
      <c r="B386" s="91" t="s">
        <v>1462</v>
      </c>
      <c r="C386" s="93" t="s">
        <v>247</v>
      </c>
      <c r="D386" s="201">
        <f t="shared" si="495"/>
        <v>64.105000000000004</v>
      </c>
      <c r="E386" s="201">
        <f t="shared" si="496"/>
        <v>1482.7963441200002</v>
      </c>
      <c r="F386" s="201">
        <f t="shared" si="497"/>
        <v>4922.3482142857147</v>
      </c>
      <c r="H386" s="91" t="s">
        <v>2340</v>
      </c>
      <c r="J386" s="201">
        <f>VLOOKUP(A386,Mapas!$B$1:$S$10689,15,FALSE)</f>
        <v>50</v>
      </c>
      <c r="K386" s="201">
        <f>VLOOKUP(A386,Mapas!$B$1:$S$10689,16,FALSE)</f>
        <v>1156.5372000000002</v>
      </c>
      <c r="L386" s="201">
        <f>VLOOKUP(A386,Mapas!$B$1:$S$10689,17,FALSE)</f>
        <v>3839.2857142857142</v>
      </c>
    </row>
    <row r="387" spans="1:12" x14ac:dyDescent="0.2">
      <c r="A387" s="393" t="s">
        <v>1372</v>
      </c>
      <c r="B387" s="91" t="s">
        <v>1463</v>
      </c>
      <c r="C387" s="93" t="s">
        <v>247</v>
      </c>
      <c r="D387" s="201">
        <f t="shared" si="495"/>
        <v>64.105000000000004</v>
      </c>
      <c r="E387" s="201">
        <f t="shared" si="496"/>
        <v>1897.8259608000001</v>
      </c>
      <c r="F387" s="201">
        <f t="shared" si="497"/>
        <v>13197.435549428574</v>
      </c>
      <c r="H387" s="91" t="s">
        <v>2340</v>
      </c>
      <c r="J387" s="201">
        <f>VLOOKUP(A387,Mapas!$B$1:$S$10689,15,FALSE)</f>
        <v>50</v>
      </c>
      <c r="K387" s="201">
        <f>VLOOKUP(A387,Mapas!$B$1:$S$10689,16,FALSE)</f>
        <v>1480.248</v>
      </c>
      <c r="L387" s="201">
        <f>VLOOKUP(A387,Mapas!$B$1:$S$10689,17,FALSE)</f>
        <v>10293.608571428573</v>
      </c>
    </row>
    <row r="388" spans="1:12" x14ac:dyDescent="0.2">
      <c r="A388" s="393" t="s">
        <v>1373</v>
      </c>
      <c r="B388" s="91" t="s">
        <v>1805</v>
      </c>
      <c r="C388" s="93" t="s">
        <v>57</v>
      </c>
      <c r="D388" s="201">
        <f t="shared" si="495"/>
        <v>69.660766666666674</v>
      </c>
      <c r="E388" s="201">
        <f t="shared" si="496"/>
        <v>0</v>
      </c>
      <c r="F388" s="201">
        <f t="shared" si="497"/>
        <v>0</v>
      </c>
      <c r="H388" s="91" t="s">
        <v>2340</v>
      </c>
      <c r="J388" s="201">
        <f>VLOOKUP(A388,Mapas!$B$1:$S$10689,15,FALSE)</f>
        <v>54.333333333333336</v>
      </c>
      <c r="K388" s="201">
        <f>VLOOKUP(A388,Mapas!$B$1:$S$10689,16,FALSE)</f>
        <v>0</v>
      </c>
      <c r="L388" s="201">
        <f>VLOOKUP(A388,Mapas!$B$1:$S$10689,17,FALSE)</f>
        <v>0</v>
      </c>
    </row>
    <row r="389" spans="1:12" x14ac:dyDescent="0.2">
      <c r="A389" s="393" t="s">
        <v>1374</v>
      </c>
      <c r="B389" s="91" t="s">
        <v>1872</v>
      </c>
      <c r="C389" s="93" t="s">
        <v>2</v>
      </c>
      <c r="D389" s="201">
        <f t="shared" si="495"/>
        <v>0</v>
      </c>
      <c r="E389" s="201">
        <f t="shared" si="496"/>
        <v>448.73500000000001</v>
      </c>
      <c r="F389" s="201">
        <f t="shared" si="497"/>
        <v>0</v>
      </c>
      <c r="H389" s="91" t="s">
        <v>2340</v>
      </c>
      <c r="J389" s="201">
        <f>VLOOKUP(A389,Mapas!$B$1:$S$10689,15,FALSE)</f>
        <v>0</v>
      </c>
      <c r="K389" s="201">
        <f>VLOOKUP(A389,Mapas!$B$1:$S$10689,16,FALSE)</f>
        <v>350</v>
      </c>
      <c r="L389" s="201">
        <f>VLOOKUP(A389,Mapas!$B$1:$S$10689,17,FALSE)</f>
        <v>0</v>
      </c>
    </row>
    <row r="390" spans="1:12" x14ac:dyDescent="0.2">
      <c r="A390" s="393" t="s">
        <v>1375</v>
      </c>
      <c r="B390" s="91" t="s">
        <v>1875</v>
      </c>
      <c r="C390" s="93" t="s">
        <v>2</v>
      </c>
      <c r="D390" s="201">
        <f t="shared" si="495"/>
        <v>0</v>
      </c>
      <c r="E390" s="201">
        <f t="shared" si="496"/>
        <v>769.26</v>
      </c>
      <c r="F390" s="201">
        <f t="shared" si="497"/>
        <v>0</v>
      </c>
      <c r="H390" s="91" t="s">
        <v>2340</v>
      </c>
      <c r="J390" s="201">
        <f>VLOOKUP(A390,Mapas!$B$1:$S$10689,15,FALSE)</f>
        <v>0</v>
      </c>
      <c r="K390" s="201">
        <f>VLOOKUP(A390,Mapas!$B$1:$S$10689,16,FALSE)</f>
        <v>600</v>
      </c>
      <c r="L390" s="201">
        <f>VLOOKUP(A390,Mapas!$B$1:$S$10689,17,FALSE)</f>
        <v>0</v>
      </c>
    </row>
    <row r="391" spans="1:12" x14ac:dyDescent="0.2">
      <c r="A391" s="393" t="s">
        <v>1376</v>
      </c>
      <c r="B391" s="91" t="s">
        <v>1873</v>
      </c>
      <c r="C391" s="93" t="s">
        <v>2</v>
      </c>
      <c r="D391" s="201">
        <f t="shared" si="495"/>
        <v>0</v>
      </c>
      <c r="E391" s="201">
        <f t="shared" si="496"/>
        <v>1538.52</v>
      </c>
      <c r="F391" s="201">
        <f t="shared" si="497"/>
        <v>0</v>
      </c>
      <c r="H391" s="91" t="s">
        <v>2340</v>
      </c>
      <c r="J391" s="201">
        <f>VLOOKUP(A391,Mapas!$B$1:$S$10689,15,FALSE)</f>
        <v>0</v>
      </c>
      <c r="K391" s="201">
        <f>VLOOKUP(A391,Mapas!$B$1:$S$10689,16,FALSE)</f>
        <v>1200</v>
      </c>
      <c r="L391" s="201">
        <f>VLOOKUP(A391,Mapas!$B$1:$S$10689,17,FALSE)</f>
        <v>0</v>
      </c>
    </row>
    <row r="392" spans="1:12" x14ac:dyDescent="0.2">
      <c r="A392" s="393" t="s">
        <v>1377</v>
      </c>
      <c r="B392" s="91" t="s">
        <v>1874</v>
      </c>
      <c r="C392" s="93" t="s">
        <v>2</v>
      </c>
      <c r="D392" s="201">
        <f t="shared" si="495"/>
        <v>0</v>
      </c>
      <c r="E392" s="201">
        <f t="shared" si="496"/>
        <v>1794.94</v>
      </c>
      <c r="F392" s="201">
        <f t="shared" si="497"/>
        <v>0</v>
      </c>
      <c r="H392" s="91" t="s">
        <v>2340</v>
      </c>
      <c r="J392" s="201">
        <f>VLOOKUP(A392,Mapas!$B$1:$S$10689,15,FALSE)</f>
        <v>0</v>
      </c>
      <c r="K392" s="201">
        <f>VLOOKUP(A392,Mapas!$B$1:$S$10689,16,FALSE)</f>
        <v>1400</v>
      </c>
      <c r="L392" s="201">
        <f>VLOOKUP(A392,Mapas!$B$1:$S$10689,17,FALSE)</f>
        <v>0</v>
      </c>
    </row>
    <row r="393" spans="1:12" x14ac:dyDescent="0.2">
      <c r="A393" s="393" t="s">
        <v>1378</v>
      </c>
      <c r="B393" s="91" t="s">
        <v>1876</v>
      </c>
      <c r="C393" s="93" t="s">
        <v>2</v>
      </c>
      <c r="D393" s="201">
        <f t="shared" si="495"/>
        <v>0</v>
      </c>
      <c r="E393" s="201">
        <f t="shared" si="496"/>
        <v>1410.31</v>
      </c>
      <c r="F393" s="201">
        <f t="shared" si="497"/>
        <v>0</v>
      </c>
      <c r="H393" s="91" t="s">
        <v>2340</v>
      </c>
      <c r="J393" s="201">
        <f>VLOOKUP(A393,Mapas!$B$1:$S$10689,15,FALSE)</f>
        <v>0</v>
      </c>
      <c r="K393" s="201">
        <f>VLOOKUP(A393,Mapas!$B$1:$S$10689,16,FALSE)</f>
        <v>1100</v>
      </c>
      <c r="L393" s="201">
        <f>VLOOKUP(A393,Mapas!$B$1:$S$10689,17,FALSE)</f>
        <v>0</v>
      </c>
    </row>
    <row r="394" spans="1:12" x14ac:dyDescent="0.2">
      <c r="A394" s="393" t="s">
        <v>1379</v>
      </c>
      <c r="B394" s="91" t="s">
        <v>2242</v>
      </c>
      <c r="C394" s="93" t="s">
        <v>26</v>
      </c>
      <c r="D394" s="201">
        <f t="shared" si="495"/>
        <v>0</v>
      </c>
      <c r="E394" s="201">
        <f t="shared" si="496"/>
        <v>193280.48540499998</v>
      </c>
      <c r="F394" s="201">
        <f t="shared" si="497"/>
        <v>0</v>
      </c>
      <c r="H394" s="91" t="s">
        <v>2340</v>
      </c>
      <c r="J394" s="201">
        <f>VLOOKUP(A394,Mapas!$B$1:$S$10689,15,FALSE)</f>
        <v>0</v>
      </c>
      <c r="K394" s="201">
        <f>VLOOKUP(A394,Mapas!$B$1:$S$10689,16,FALSE)</f>
        <v>150753.04999999999</v>
      </c>
      <c r="L394" s="201">
        <f>VLOOKUP(A394,Mapas!$B$1:$S$10689,17,FALSE)</f>
        <v>0</v>
      </c>
    </row>
    <row r="395" spans="1:12" x14ac:dyDescent="0.2">
      <c r="A395" s="393" t="s">
        <v>1380</v>
      </c>
      <c r="B395" s="91" t="s">
        <v>2299</v>
      </c>
      <c r="C395" s="93" t="s">
        <v>3</v>
      </c>
      <c r="D395" s="201">
        <f t="shared" si="495"/>
        <v>0</v>
      </c>
      <c r="E395" s="201">
        <f t="shared" si="496"/>
        <v>7461.7963579999996</v>
      </c>
      <c r="F395" s="201">
        <f t="shared" si="497"/>
        <v>0</v>
      </c>
      <c r="H395" s="91" t="s">
        <v>2340</v>
      </c>
      <c r="J395" s="201">
        <f>VLOOKUP(A395,Mapas!$B$1:$S$10689,15,FALSE)</f>
        <v>0</v>
      </c>
      <c r="K395" s="201">
        <f>VLOOKUP(A395,Mapas!$B$1:$S$10689,16,FALSE)</f>
        <v>5819.98</v>
      </c>
      <c r="L395" s="201">
        <f>VLOOKUP(A395,Mapas!$B$1:$S$10689,17,FALSE)</f>
        <v>0</v>
      </c>
    </row>
    <row r="396" spans="1:12" x14ac:dyDescent="0.2">
      <c r="D396" s="201"/>
      <c r="E396" s="201"/>
      <c r="F396" s="201"/>
      <c r="J396" s="201"/>
      <c r="K396" s="201"/>
      <c r="L396" s="201"/>
    </row>
    <row r="397" spans="1:12" x14ac:dyDescent="0.2">
      <c r="B397" s="91" t="s">
        <v>1539</v>
      </c>
      <c r="D397" s="201"/>
      <c r="E397" s="201"/>
      <c r="F397" s="201"/>
      <c r="J397" s="201"/>
      <c r="K397" s="201"/>
      <c r="L397" s="201"/>
    </row>
    <row r="398" spans="1:12" x14ac:dyDescent="0.2">
      <c r="A398" s="393" t="s">
        <v>1477</v>
      </c>
      <c r="B398" s="393" t="s">
        <v>1621</v>
      </c>
      <c r="C398" s="93" t="s">
        <v>2</v>
      </c>
      <c r="D398" s="201">
        <f t="shared" ref="D398:D438" si="501">J398*$J$4</f>
        <v>333.41763870635441</v>
      </c>
      <c r="E398" s="201">
        <f t="shared" ref="E398:E438" si="502">K398*$J$4</f>
        <v>417.17472669055934</v>
      </c>
      <c r="F398" s="201">
        <f t="shared" ref="F398:F438" si="503">L398*$J$4</f>
        <v>0</v>
      </c>
      <c r="H398" s="91" t="s">
        <v>2340</v>
      </c>
      <c r="J398" s="201">
        <f>VLOOKUP(A398,MapasEqtos!$B$1:$S$10197,15,FALSE)</f>
        <v>260.05587606766585</v>
      </c>
      <c r="K398" s="201">
        <f>VLOOKUP(A398,MapasEqtos!$B$1:$S$10197,14,FALSE)</f>
        <v>325.38392222959158</v>
      </c>
      <c r="L398" s="201"/>
    </row>
    <row r="399" spans="1:12" x14ac:dyDescent="0.2">
      <c r="A399" s="393" t="s">
        <v>1478</v>
      </c>
      <c r="B399" s="393" t="s">
        <v>1622</v>
      </c>
      <c r="C399" s="93" t="s">
        <v>2</v>
      </c>
      <c r="D399" s="201">
        <f t="shared" si="501"/>
        <v>268.98910948773516</v>
      </c>
      <c r="E399" s="201">
        <f t="shared" si="502"/>
        <v>336.63906516728542</v>
      </c>
      <c r="F399" s="201">
        <f t="shared" si="503"/>
        <v>0</v>
      </c>
      <c r="H399" s="91" t="s">
        <v>2340</v>
      </c>
      <c r="J399" s="201">
        <f>VLOOKUP(A399,MapasEqtos!$B$1:$S$10197,15,FALSE)</f>
        <v>209.80353286618453</v>
      </c>
      <c r="K399" s="201">
        <f>VLOOKUP(A399,MapasEqtos!$B$1:$S$10197,14,FALSE)</f>
        <v>262.56849322773996</v>
      </c>
      <c r="L399" s="201"/>
    </row>
    <row r="400" spans="1:12" x14ac:dyDescent="0.2">
      <c r="A400" s="393" t="s">
        <v>1479</v>
      </c>
      <c r="B400" s="393" t="s">
        <v>1623</v>
      </c>
      <c r="C400" s="93" t="s">
        <v>2</v>
      </c>
      <c r="D400" s="201">
        <f t="shared" si="501"/>
        <v>228.72127872609821</v>
      </c>
      <c r="E400" s="201">
        <f t="shared" si="502"/>
        <v>286.70695502285548</v>
      </c>
      <c r="F400" s="201">
        <f t="shared" si="503"/>
        <v>0</v>
      </c>
      <c r="H400" s="91" t="s">
        <v>2340</v>
      </c>
      <c r="J400" s="201">
        <f>VLOOKUP(A400,MapasEqtos!$B$1:$S$10197,15,FALSE)</f>
        <v>178.39581836525872</v>
      </c>
      <c r="K400" s="201">
        <f>VLOOKUP(A400,MapasEqtos!$B$1:$S$10197,14,FALSE)</f>
        <v>223.6229272465919</v>
      </c>
      <c r="L400" s="201"/>
    </row>
    <row r="401" spans="1:12" x14ac:dyDescent="0.2">
      <c r="A401" s="393" t="s">
        <v>1480</v>
      </c>
      <c r="B401" s="393" t="s">
        <v>1624</v>
      </c>
      <c r="C401" s="93" t="s">
        <v>2</v>
      </c>
      <c r="D401" s="201">
        <f t="shared" si="501"/>
        <v>115.97135259351457</v>
      </c>
      <c r="E401" s="201">
        <f t="shared" si="502"/>
        <v>144.96419074189322</v>
      </c>
      <c r="F401" s="201">
        <f t="shared" si="503"/>
        <v>0</v>
      </c>
      <c r="H401" s="91" t="s">
        <v>2340</v>
      </c>
      <c r="J401" s="201">
        <f>VLOOKUP(A401,MapasEqtos!$B$1:$S$10197,15,FALSE)</f>
        <v>90.454217762666374</v>
      </c>
      <c r="K401" s="201">
        <f>VLOOKUP(A401,MapasEqtos!$B$1:$S$10197,14,FALSE)</f>
        <v>113.06777220333298</v>
      </c>
      <c r="L401" s="201"/>
    </row>
    <row r="402" spans="1:12" x14ac:dyDescent="0.2">
      <c r="A402" s="393" t="s">
        <v>1481</v>
      </c>
      <c r="B402" s="393" t="s">
        <v>1625</v>
      </c>
      <c r="C402" s="93" t="s">
        <v>2</v>
      </c>
      <c r="D402" s="201">
        <f t="shared" si="501"/>
        <v>98.253507058394277</v>
      </c>
      <c r="E402" s="201">
        <f t="shared" si="502"/>
        <v>124.02491874584199</v>
      </c>
      <c r="F402" s="201">
        <f t="shared" si="503"/>
        <v>0</v>
      </c>
      <c r="H402" s="91" t="s">
        <v>2340</v>
      </c>
      <c r="J402" s="201">
        <f>VLOOKUP(A402,MapasEqtos!$B$1:$S$10197,15,FALSE)</f>
        <v>76.634823382259015</v>
      </c>
      <c r="K402" s="201">
        <f>VLOOKUP(A402,MapasEqtos!$B$1:$S$10197,14,FALSE)</f>
        <v>96.735760662851561</v>
      </c>
      <c r="L402" s="201"/>
    </row>
    <row r="403" spans="1:12" x14ac:dyDescent="0.2">
      <c r="A403" s="393" t="s">
        <v>1482</v>
      </c>
      <c r="B403" s="393" t="s">
        <v>1626</v>
      </c>
      <c r="C403" s="93" t="s">
        <v>2</v>
      </c>
      <c r="D403" s="201">
        <f t="shared" si="501"/>
        <v>85.36780121467045</v>
      </c>
      <c r="E403" s="201">
        <f t="shared" si="502"/>
        <v>106.3070732107217</v>
      </c>
      <c r="F403" s="201">
        <f t="shared" si="503"/>
        <v>0</v>
      </c>
      <c r="H403" s="91" t="s">
        <v>2340</v>
      </c>
      <c r="J403" s="201">
        <f>VLOOKUP(A403,MapasEqtos!$B$1:$S$10197,15,FALSE)</f>
        <v>66.584354741962755</v>
      </c>
      <c r="K403" s="201">
        <f>VLOOKUP(A403,MapasEqtos!$B$1:$S$10197,14,FALSE)</f>
        <v>82.916366282444187</v>
      </c>
      <c r="L403" s="201"/>
    </row>
    <row r="404" spans="1:12" x14ac:dyDescent="0.2">
      <c r="A404" s="393" t="s">
        <v>1483</v>
      </c>
      <c r="B404" s="393" t="s">
        <v>1627</v>
      </c>
      <c r="C404" s="93" t="s">
        <v>2</v>
      </c>
      <c r="D404" s="201">
        <f t="shared" si="501"/>
        <v>70.871382140481117</v>
      </c>
      <c r="E404" s="201">
        <f t="shared" si="502"/>
        <v>88.589227675601393</v>
      </c>
      <c r="F404" s="201">
        <f t="shared" si="503"/>
        <v>0</v>
      </c>
      <c r="H404" s="91" t="s">
        <v>2340</v>
      </c>
      <c r="J404" s="201">
        <f>VLOOKUP(A404,MapasEqtos!$B$1:$S$10197,15,FALSE)</f>
        <v>55.277577521629453</v>
      </c>
      <c r="K404" s="201">
        <f>VLOOKUP(A404,MapasEqtos!$B$1:$S$10197,14,FALSE)</f>
        <v>69.096971902036813</v>
      </c>
      <c r="L404" s="201"/>
    </row>
    <row r="405" spans="1:12" x14ac:dyDescent="0.2">
      <c r="A405" s="393" t="s">
        <v>1484</v>
      </c>
      <c r="B405" s="393" t="s">
        <v>1628</v>
      </c>
      <c r="C405" s="93" t="s">
        <v>2</v>
      </c>
      <c r="D405" s="201">
        <f t="shared" si="501"/>
        <v>56.374963066291805</v>
      </c>
      <c r="E405" s="201">
        <f t="shared" si="502"/>
        <v>70.871382140481117</v>
      </c>
      <c r="F405" s="201">
        <f t="shared" si="503"/>
        <v>0</v>
      </c>
      <c r="H405" s="91" t="s">
        <v>2340</v>
      </c>
      <c r="J405" s="201">
        <f>VLOOKUP(A405,MapasEqtos!$B$1:$S$10197,15,FALSE)</f>
        <v>43.970800301296158</v>
      </c>
      <c r="K405" s="201">
        <f>VLOOKUP(A405,MapasEqtos!$B$1:$S$10197,14,FALSE)</f>
        <v>55.277577521629453</v>
      </c>
      <c r="L405" s="201"/>
    </row>
    <row r="406" spans="1:12" x14ac:dyDescent="0.2">
      <c r="A406" s="393" t="s">
        <v>1485</v>
      </c>
      <c r="B406" s="393" t="s">
        <v>1629</v>
      </c>
      <c r="C406" s="93" t="s">
        <v>2</v>
      </c>
      <c r="D406" s="201">
        <f t="shared" si="501"/>
        <v>40.267830761637001</v>
      </c>
      <c r="E406" s="201">
        <f t="shared" si="502"/>
        <v>51.542823374895363</v>
      </c>
      <c r="F406" s="201">
        <f t="shared" si="503"/>
        <v>0</v>
      </c>
      <c r="H406" s="91" t="s">
        <v>2340</v>
      </c>
      <c r="J406" s="201">
        <f>VLOOKUP(A406,MapasEqtos!$B$1:$S$10197,15,FALSE)</f>
        <v>31.407714500925824</v>
      </c>
      <c r="K406" s="201">
        <f>VLOOKUP(A406,MapasEqtos!$B$1:$S$10197,14,FALSE)</f>
        <v>40.201874561185058</v>
      </c>
      <c r="L406" s="201"/>
    </row>
    <row r="407" spans="1:12" x14ac:dyDescent="0.2">
      <c r="A407" s="393" t="s">
        <v>1486</v>
      </c>
      <c r="B407" s="393" t="s">
        <v>1630</v>
      </c>
      <c r="C407" s="93" t="s">
        <v>2</v>
      </c>
      <c r="D407" s="201">
        <f t="shared" si="501"/>
        <v>28.992838148378642</v>
      </c>
      <c r="E407" s="201">
        <f t="shared" si="502"/>
        <v>35.435691070240566</v>
      </c>
      <c r="F407" s="201">
        <f t="shared" si="503"/>
        <v>0</v>
      </c>
      <c r="H407" s="91" t="s">
        <v>2340</v>
      </c>
      <c r="J407" s="201">
        <f>VLOOKUP(A407,MapasEqtos!$B$1:$S$10197,15,FALSE)</f>
        <v>22.613554440666594</v>
      </c>
      <c r="K407" s="201">
        <f>VLOOKUP(A407,MapasEqtos!$B$1:$S$10197,14,FALSE)</f>
        <v>27.63878876081473</v>
      </c>
      <c r="L407" s="201"/>
    </row>
    <row r="408" spans="1:12" x14ac:dyDescent="0.2">
      <c r="A408" s="393" t="s">
        <v>1487</v>
      </c>
      <c r="B408" s="393" t="s">
        <v>1631</v>
      </c>
      <c r="C408" s="93" t="s">
        <v>3</v>
      </c>
      <c r="D408" s="201">
        <f t="shared" si="501"/>
        <v>144.96419074189319</v>
      </c>
      <c r="E408" s="201">
        <f t="shared" si="502"/>
        <v>182.01059504259925</v>
      </c>
      <c r="F408" s="201">
        <f t="shared" si="503"/>
        <v>0</v>
      </c>
      <c r="H408" s="91" t="s">
        <v>2340</v>
      </c>
      <c r="J408" s="201">
        <f>VLOOKUP(A408,MapasEqtos!$B$1:$S$10197,15,FALSE)</f>
        <v>113.06777220333296</v>
      </c>
      <c r="K408" s="201">
        <f>VLOOKUP(A408,MapasEqtos!$B$1:$S$10197,14,FALSE)</f>
        <v>141.96286954418474</v>
      </c>
      <c r="L408" s="201"/>
    </row>
    <row r="409" spans="1:12" x14ac:dyDescent="0.2">
      <c r="A409" s="393" t="s">
        <v>1488</v>
      </c>
      <c r="B409" s="393" t="s">
        <v>1632</v>
      </c>
      <c r="C409" s="93" t="s">
        <v>3</v>
      </c>
      <c r="D409" s="201">
        <f t="shared" si="501"/>
        <v>241.606984569822</v>
      </c>
      <c r="E409" s="201">
        <f t="shared" si="502"/>
        <v>301.20337409704479</v>
      </c>
      <c r="F409" s="201">
        <f t="shared" si="503"/>
        <v>0</v>
      </c>
      <c r="H409" s="91" t="s">
        <v>2340</v>
      </c>
      <c r="J409" s="201">
        <f>VLOOKUP(A409,MapasEqtos!$B$1:$S$10197,15,FALSE)</f>
        <v>188.44628700555495</v>
      </c>
      <c r="K409" s="201">
        <f>VLOOKUP(A409,MapasEqtos!$B$1:$S$10197,14,FALSE)</f>
        <v>234.92970446692519</v>
      </c>
      <c r="L409" s="201"/>
    </row>
    <row r="410" spans="1:12" x14ac:dyDescent="0.2">
      <c r="A410" s="393" t="s">
        <v>1489</v>
      </c>
      <c r="B410" s="393" t="s">
        <v>1633</v>
      </c>
      <c r="C410" s="93" t="s">
        <v>3</v>
      </c>
      <c r="D410" s="201">
        <f t="shared" si="501"/>
        <v>380.12832238985328</v>
      </c>
      <c r="E410" s="201">
        <f t="shared" si="502"/>
        <v>475.16040298731662</v>
      </c>
      <c r="F410" s="201">
        <f t="shared" si="503"/>
        <v>0</v>
      </c>
      <c r="H410" s="91" t="s">
        <v>2340</v>
      </c>
      <c r="J410" s="201">
        <f>VLOOKUP(A410,MapasEqtos!$B$1:$S$10197,15,FALSE)</f>
        <v>296.48882488873977</v>
      </c>
      <c r="K410" s="201">
        <f>VLOOKUP(A410,MapasEqtos!$B$1:$S$10197,14,FALSE)</f>
        <v>370.61103111092473</v>
      </c>
      <c r="L410" s="201"/>
    </row>
    <row r="411" spans="1:12" x14ac:dyDescent="0.2">
      <c r="A411" s="393" t="s">
        <v>1490</v>
      </c>
      <c r="B411" s="393" t="s">
        <v>1634</v>
      </c>
      <c r="C411" s="93" t="s">
        <v>3</v>
      </c>
      <c r="D411" s="201">
        <f t="shared" si="501"/>
        <v>694.21740233062189</v>
      </c>
      <c r="E411" s="201">
        <f t="shared" si="502"/>
        <v>868.17443122089389</v>
      </c>
      <c r="F411" s="201">
        <f t="shared" si="503"/>
        <v>0</v>
      </c>
      <c r="H411" s="91" t="s">
        <v>2340</v>
      </c>
      <c r="J411" s="201">
        <f>VLOOKUP(A411,MapasEqtos!$B$1:$S$10197,15,FALSE)</f>
        <v>541.46899799596122</v>
      </c>
      <c r="K411" s="201">
        <f>VLOOKUP(A411,MapasEqtos!$B$1:$S$10197,14,FALSE)</f>
        <v>677.1503246399609</v>
      </c>
      <c r="L411" s="201"/>
    </row>
    <row r="412" spans="1:12" x14ac:dyDescent="0.2">
      <c r="A412" s="393" t="s">
        <v>1491</v>
      </c>
      <c r="B412" s="393" t="s">
        <v>1635</v>
      </c>
      <c r="C412" s="93" t="s">
        <v>3</v>
      </c>
      <c r="D412" s="201">
        <f t="shared" si="501"/>
        <v>802.13518877180911</v>
      </c>
      <c r="E412" s="201">
        <f t="shared" si="502"/>
        <v>1001.8636293495287</v>
      </c>
      <c r="F412" s="201">
        <f t="shared" si="503"/>
        <v>0</v>
      </c>
      <c r="H412" s="91" t="s">
        <v>2340</v>
      </c>
      <c r="J412" s="201">
        <f>VLOOKUP(A412,MapasEqtos!$B$1:$S$10197,15,FALSE)</f>
        <v>625.64167285844246</v>
      </c>
      <c r="K412" s="201">
        <f>VLOOKUP(A412,MapasEqtos!$B$1:$S$10197,14,FALSE)</f>
        <v>781.42393678303461</v>
      </c>
      <c r="L412" s="201"/>
    </row>
    <row r="413" spans="1:12" x14ac:dyDescent="0.2">
      <c r="A413" s="393" t="s">
        <v>1492</v>
      </c>
      <c r="B413" s="393" t="s">
        <v>1636</v>
      </c>
      <c r="C413" s="93" t="s">
        <v>3</v>
      </c>
      <c r="D413" s="201">
        <f t="shared" si="501"/>
        <v>120.803492284911</v>
      </c>
      <c r="E413" s="201">
        <f t="shared" si="502"/>
        <v>151.40704366375513</v>
      </c>
      <c r="F413" s="201">
        <f t="shared" si="503"/>
        <v>0</v>
      </c>
      <c r="H413" s="91" t="s">
        <v>2340</v>
      </c>
      <c r="J413" s="201">
        <f>VLOOKUP(A413,MapasEqtos!$B$1:$S$10197,15,FALSE)</f>
        <v>94.223143502777475</v>
      </c>
      <c r="K413" s="201">
        <f>VLOOKUP(A413,MapasEqtos!$B$1:$S$10197,14,FALSE)</f>
        <v>118.09300652348111</v>
      </c>
      <c r="L413" s="201"/>
    </row>
    <row r="414" spans="1:12" x14ac:dyDescent="0.2">
      <c r="A414" s="393" t="s">
        <v>1493</v>
      </c>
      <c r="B414" s="393" t="s">
        <v>1637</v>
      </c>
      <c r="C414" s="93" t="s">
        <v>3</v>
      </c>
      <c r="D414" s="201">
        <f t="shared" si="501"/>
        <v>194.89630088632305</v>
      </c>
      <c r="E414" s="201">
        <f t="shared" si="502"/>
        <v>243.21769780028751</v>
      </c>
      <c r="F414" s="201">
        <f t="shared" si="503"/>
        <v>0</v>
      </c>
      <c r="H414" s="91" t="s">
        <v>2340</v>
      </c>
      <c r="J414" s="201">
        <f>VLOOKUP(A414,MapasEqtos!$B$1:$S$10197,15,FALSE)</f>
        <v>152.01333818448097</v>
      </c>
      <c r="K414" s="201">
        <f>VLOOKUP(A414,MapasEqtos!$B$1:$S$10197,14,FALSE)</f>
        <v>189.70259558559201</v>
      </c>
      <c r="L414" s="201"/>
    </row>
    <row r="415" spans="1:12" x14ac:dyDescent="0.2">
      <c r="A415" s="393" t="s">
        <v>1494</v>
      </c>
      <c r="B415" s="393" t="s">
        <v>1638</v>
      </c>
      <c r="C415" s="93" t="s">
        <v>3</v>
      </c>
      <c r="D415" s="201">
        <f t="shared" si="501"/>
        <v>198.11772734725409</v>
      </c>
      <c r="E415" s="201">
        <f t="shared" si="502"/>
        <v>248.04983749168392</v>
      </c>
      <c r="F415" s="201">
        <f t="shared" si="503"/>
        <v>0</v>
      </c>
      <c r="H415" s="91" t="s">
        <v>2340</v>
      </c>
      <c r="J415" s="201">
        <f>VLOOKUP(A415,MapasEqtos!$B$1:$S$10197,15,FALSE)</f>
        <v>154.52595534455509</v>
      </c>
      <c r="K415" s="201">
        <f>VLOOKUP(A415,MapasEqtos!$B$1:$S$10197,14,FALSE)</f>
        <v>193.47152132570307</v>
      </c>
      <c r="L415" s="201"/>
    </row>
    <row r="416" spans="1:12" x14ac:dyDescent="0.2">
      <c r="A416" s="393" t="s">
        <v>1495</v>
      </c>
      <c r="B416" s="393" t="s">
        <v>1639</v>
      </c>
      <c r="C416" s="93" t="s">
        <v>3</v>
      </c>
      <c r="D416" s="201">
        <f t="shared" si="501"/>
        <v>264.15696979633873</v>
      </c>
      <c r="E416" s="201">
        <f t="shared" si="502"/>
        <v>328.58549901495797</v>
      </c>
      <c r="F416" s="201">
        <f t="shared" si="503"/>
        <v>0</v>
      </c>
      <c r="H416" s="91" t="s">
        <v>2340</v>
      </c>
      <c r="J416" s="201">
        <f>VLOOKUP(A416,MapasEqtos!$B$1:$S$10197,15,FALSE)</f>
        <v>206.03460712607341</v>
      </c>
      <c r="K416" s="201">
        <f>VLOOKUP(A416,MapasEqtos!$B$1:$S$10197,14,FALSE)</f>
        <v>256.28695032755479</v>
      </c>
      <c r="L416" s="201"/>
    </row>
    <row r="417" spans="1:12" x14ac:dyDescent="0.2">
      <c r="A417" s="393" t="s">
        <v>1496</v>
      </c>
      <c r="B417" s="393" t="s">
        <v>1640</v>
      </c>
      <c r="C417" s="93" t="s">
        <v>3</v>
      </c>
      <c r="D417" s="201">
        <f t="shared" si="501"/>
        <v>157.84989658561705</v>
      </c>
      <c r="E417" s="201">
        <f t="shared" si="502"/>
        <v>196.50701411678855</v>
      </c>
      <c r="F417" s="201">
        <f t="shared" si="503"/>
        <v>0</v>
      </c>
      <c r="H417" s="91" t="s">
        <v>2340</v>
      </c>
      <c r="J417" s="201">
        <f>VLOOKUP(A417,MapasEqtos!$B$1:$S$10197,15,FALSE)</f>
        <v>123.11824084362924</v>
      </c>
      <c r="K417" s="201">
        <f>VLOOKUP(A417,MapasEqtos!$B$1:$S$10197,14,FALSE)</f>
        <v>153.26964676451803</v>
      </c>
      <c r="L417" s="201"/>
    </row>
    <row r="418" spans="1:12" x14ac:dyDescent="0.2">
      <c r="A418" s="393" t="s">
        <v>1497</v>
      </c>
      <c r="B418" s="393" t="s">
        <v>1641</v>
      </c>
      <c r="C418" s="93" t="s">
        <v>3</v>
      </c>
      <c r="D418" s="201">
        <f t="shared" si="501"/>
        <v>182.01059504259925</v>
      </c>
      <c r="E418" s="201">
        <f t="shared" si="502"/>
        <v>227.1105654956327</v>
      </c>
      <c r="F418" s="201">
        <f t="shared" si="503"/>
        <v>0</v>
      </c>
      <c r="H418" s="91" t="s">
        <v>2340</v>
      </c>
      <c r="J418" s="201">
        <f>VLOOKUP(A418,MapasEqtos!$B$1:$S$10197,15,FALSE)</f>
        <v>141.96286954418474</v>
      </c>
      <c r="K418" s="201">
        <f>VLOOKUP(A418,MapasEqtos!$B$1:$S$10197,14,FALSE)</f>
        <v>177.13950978522166</v>
      </c>
      <c r="L418" s="201"/>
    </row>
    <row r="419" spans="1:12" x14ac:dyDescent="0.2">
      <c r="A419" s="393" t="s">
        <v>1498</v>
      </c>
      <c r="B419" s="393" t="s">
        <v>1642</v>
      </c>
      <c r="C419" s="93" t="s">
        <v>3</v>
      </c>
      <c r="D419" s="201">
        <f t="shared" si="501"/>
        <v>206.17129349958145</v>
      </c>
      <c r="E419" s="201">
        <f t="shared" si="502"/>
        <v>257.71411687447682</v>
      </c>
      <c r="F419" s="201">
        <f t="shared" si="503"/>
        <v>0</v>
      </c>
      <c r="H419" s="91" t="s">
        <v>2340</v>
      </c>
      <c r="J419" s="201">
        <f>VLOOKUP(A419,MapasEqtos!$B$1:$S$10197,15,FALSE)</f>
        <v>160.80749824474023</v>
      </c>
      <c r="K419" s="201">
        <f>VLOOKUP(A419,MapasEqtos!$B$1:$S$10197,14,FALSE)</f>
        <v>201.0093728059253</v>
      </c>
      <c r="L419" s="201"/>
    </row>
    <row r="420" spans="1:12" x14ac:dyDescent="0.2">
      <c r="A420" s="393" t="s">
        <v>1499</v>
      </c>
      <c r="B420" s="393" t="s">
        <v>1643</v>
      </c>
      <c r="C420" s="93" t="s">
        <v>3</v>
      </c>
      <c r="D420" s="201">
        <f t="shared" si="501"/>
        <v>233.55341841749458</v>
      </c>
      <c r="E420" s="201">
        <f t="shared" si="502"/>
        <v>291.53909471425192</v>
      </c>
      <c r="F420" s="201">
        <f t="shared" si="503"/>
        <v>0</v>
      </c>
      <c r="H420" s="91" t="s">
        <v>2340</v>
      </c>
      <c r="J420" s="201">
        <f>VLOOKUP(A420,MapasEqtos!$B$1:$S$10197,15,FALSE)</f>
        <v>182.16474410536978</v>
      </c>
      <c r="K420" s="201">
        <f>VLOOKUP(A420,MapasEqtos!$B$1:$S$10197,14,FALSE)</f>
        <v>227.39185298670299</v>
      </c>
      <c r="L420" s="201"/>
    </row>
    <row r="421" spans="1:12" x14ac:dyDescent="0.2">
      <c r="A421" s="393" t="s">
        <v>1500</v>
      </c>
      <c r="B421" s="393" t="s">
        <v>1644</v>
      </c>
      <c r="C421" s="93" t="s">
        <v>3</v>
      </c>
      <c r="D421" s="201">
        <f t="shared" si="501"/>
        <v>199.72844057771951</v>
      </c>
      <c r="E421" s="201">
        <f t="shared" si="502"/>
        <v>249.66055072214942</v>
      </c>
      <c r="F421" s="201">
        <f t="shared" si="503"/>
        <v>0</v>
      </c>
      <c r="H421" s="91" t="s">
        <v>2340</v>
      </c>
      <c r="J421" s="201">
        <f>VLOOKUP(A421,MapasEqtos!$B$1:$S$10197,15,FALSE)</f>
        <v>155.78226392459209</v>
      </c>
      <c r="K421" s="201">
        <f>VLOOKUP(A421,MapasEqtos!$B$1:$S$10197,14,FALSE)</f>
        <v>194.72782990574012</v>
      </c>
      <c r="L421" s="201"/>
    </row>
    <row r="422" spans="1:12" x14ac:dyDescent="0.2">
      <c r="A422" s="393" t="s">
        <v>1501</v>
      </c>
      <c r="B422" s="393" t="s">
        <v>1645</v>
      </c>
      <c r="C422" s="93" t="s">
        <v>3</v>
      </c>
      <c r="D422" s="201">
        <f t="shared" si="501"/>
        <v>228.72127872609815</v>
      </c>
      <c r="E422" s="201">
        <f t="shared" si="502"/>
        <v>286.70695502285548</v>
      </c>
      <c r="F422" s="201">
        <f t="shared" si="503"/>
        <v>0</v>
      </c>
      <c r="H422" s="91" t="s">
        <v>2340</v>
      </c>
      <c r="J422" s="201">
        <f>VLOOKUP(A422,MapasEqtos!$B$1:$S$10197,15,FALSE)</f>
        <v>178.39581836525866</v>
      </c>
      <c r="K422" s="201">
        <f>VLOOKUP(A422,MapasEqtos!$B$1:$S$10197,14,FALSE)</f>
        <v>223.6229272465919</v>
      </c>
      <c r="L422" s="201"/>
    </row>
    <row r="423" spans="1:12" x14ac:dyDescent="0.2">
      <c r="A423" s="393" t="s">
        <v>1502</v>
      </c>
      <c r="B423" s="393" t="s">
        <v>1646</v>
      </c>
      <c r="C423" s="93" t="s">
        <v>3</v>
      </c>
      <c r="D423" s="201">
        <f t="shared" si="501"/>
        <v>257.71411687447682</v>
      </c>
      <c r="E423" s="201">
        <f t="shared" si="502"/>
        <v>320.53193286263058</v>
      </c>
      <c r="F423" s="201">
        <f t="shared" si="503"/>
        <v>0</v>
      </c>
      <c r="H423" s="91" t="s">
        <v>2340</v>
      </c>
      <c r="J423" s="201">
        <f>VLOOKUP(A423,MapasEqtos!$B$1:$S$10197,15,FALSE)</f>
        <v>201.0093728059253</v>
      </c>
      <c r="K423" s="201">
        <f>VLOOKUP(A423,MapasEqtos!$B$1:$S$10197,14,FALSE)</f>
        <v>250.00540742736959</v>
      </c>
      <c r="L423" s="201"/>
    </row>
    <row r="424" spans="1:12" x14ac:dyDescent="0.2">
      <c r="A424" s="393" t="s">
        <v>1503</v>
      </c>
      <c r="B424" s="393" t="s">
        <v>1647</v>
      </c>
      <c r="C424" s="93" t="s">
        <v>3</v>
      </c>
      <c r="D424" s="201">
        <f t="shared" si="501"/>
        <v>278.65338887052803</v>
      </c>
      <c r="E424" s="201">
        <f t="shared" si="502"/>
        <v>347.91405778054371</v>
      </c>
      <c r="F424" s="201">
        <f t="shared" si="503"/>
        <v>0</v>
      </c>
      <c r="H424" s="91" t="s">
        <v>2340</v>
      </c>
      <c r="J424" s="201">
        <f>VLOOKUP(A424,MapasEqtos!$B$1:$S$10197,15,FALSE)</f>
        <v>217.3413843464067</v>
      </c>
      <c r="K424" s="201">
        <f>VLOOKUP(A424,MapasEqtos!$B$1:$S$10197,14,FALSE)</f>
        <v>271.36265328799914</v>
      </c>
      <c r="L424" s="201"/>
    </row>
    <row r="425" spans="1:12" x14ac:dyDescent="0.2">
      <c r="A425" s="393" t="s">
        <v>1504</v>
      </c>
      <c r="B425" s="393" t="s">
        <v>1648</v>
      </c>
      <c r="C425" s="93" t="s">
        <v>3</v>
      </c>
      <c r="D425" s="201">
        <f t="shared" si="501"/>
        <v>344.69263131961276</v>
      </c>
      <c r="E425" s="201">
        <f t="shared" si="502"/>
        <v>430.06043253428317</v>
      </c>
      <c r="F425" s="201">
        <f t="shared" si="503"/>
        <v>0</v>
      </c>
      <c r="H425" s="91" t="s">
        <v>2340</v>
      </c>
      <c r="J425" s="201">
        <f>VLOOKUP(A425,MapasEqtos!$B$1:$S$10197,15,FALSE)</f>
        <v>268.85003612792508</v>
      </c>
      <c r="K425" s="201">
        <f>VLOOKUP(A425,MapasEqtos!$B$1:$S$10197,14,FALSE)</f>
        <v>335.43439086988781</v>
      </c>
      <c r="L425" s="201"/>
    </row>
    <row r="426" spans="1:12" x14ac:dyDescent="0.2">
      <c r="A426" s="393" t="s">
        <v>1505</v>
      </c>
      <c r="B426" s="393" t="s">
        <v>1649</v>
      </c>
      <c r="C426" s="93" t="s">
        <v>3</v>
      </c>
      <c r="D426" s="201">
        <f t="shared" si="501"/>
        <v>375.29618269845679</v>
      </c>
      <c r="E426" s="201">
        <f t="shared" si="502"/>
        <v>468.7175500654547</v>
      </c>
      <c r="F426" s="201">
        <f t="shared" si="503"/>
        <v>0</v>
      </c>
      <c r="H426" s="91" t="s">
        <v>2340</v>
      </c>
      <c r="J426" s="201">
        <f>VLOOKUP(A426,MapasEqtos!$B$1:$S$10197,15,FALSE)</f>
        <v>292.71989914862866</v>
      </c>
      <c r="K426" s="201">
        <f>VLOOKUP(A426,MapasEqtos!$B$1:$S$10197,14,FALSE)</f>
        <v>365.58579679077661</v>
      </c>
      <c r="L426" s="201"/>
    </row>
    <row r="427" spans="1:12" x14ac:dyDescent="0.2">
      <c r="A427" s="393" t="s">
        <v>1506</v>
      </c>
      <c r="B427" s="393" t="s">
        <v>1650</v>
      </c>
      <c r="C427" s="93" t="s">
        <v>3</v>
      </c>
      <c r="D427" s="201">
        <f t="shared" si="501"/>
        <v>457.4425574521963</v>
      </c>
      <c r="E427" s="201">
        <f t="shared" si="502"/>
        <v>571.80319681524543</v>
      </c>
      <c r="F427" s="201">
        <f t="shared" si="503"/>
        <v>0</v>
      </c>
      <c r="H427" s="91" t="s">
        <v>2340</v>
      </c>
      <c r="J427" s="201">
        <f>VLOOKUP(A427,MapasEqtos!$B$1:$S$10197,15,FALSE)</f>
        <v>356.79163673051733</v>
      </c>
      <c r="K427" s="201">
        <f>VLOOKUP(A427,MapasEqtos!$B$1:$S$10197,14,FALSE)</f>
        <v>445.98954591314674</v>
      </c>
      <c r="L427" s="201"/>
    </row>
    <row r="428" spans="1:12" x14ac:dyDescent="0.2">
      <c r="A428" s="393" t="s">
        <v>1507</v>
      </c>
      <c r="B428" s="393" t="s">
        <v>1651</v>
      </c>
      <c r="C428" s="93" t="s">
        <v>3</v>
      </c>
      <c r="D428" s="201">
        <f t="shared" si="501"/>
        <v>410.73187376869748</v>
      </c>
      <c r="E428" s="201">
        <f t="shared" si="502"/>
        <v>513.8175205184881</v>
      </c>
      <c r="F428" s="201">
        <f t="shared" si="503"/>
        <v>0</v>
      </c>
      <c r="H428" s="91" t="s">
        <v>2340</v>
      </c>
      <c r="J428" s="201">
        <f>VLOOKUP(A428,MapasEqtos!$B$1:$S$10197,15,FALSE)</f>
        <v>320.35868790944346</v>
      </c>
      <c r="K428" s="201">
        <f>VLOOKUP(A428,MapasEqtos!$B$1:$S$10197,14,FALSE)</f>
        <v>400.76243703181353</v>
      </c>
      <c r="L428" s="201"/>
    </row>
    <row r="429" spans="1:12" x14ac:dyDescent="0.2">
      <c r="A429" s="393" t="s">
        <v>1508</v>
      </c>
      <c r="B429" s="393" t="s">
        <v>1652</v>
      </c>
      <c r="C429" s="93" t="s">
        <v>3</v>
      </c>
      <c r="D429" s="201">
        <f t="shared" si="501"/>
        <v>665.22456418224328</v>
      </c>
      <c r="E429" s="201">
        <f t="shared" si="502"/>
        <v>832.73874015065326</v>
      </c>
      <c r="F429" s="201">
        <f t="shared" si="503"/>
        <v>0</v>
      </c>
      <c r="H429" s="91" t="s">
        <v>2340</v>
      </c>
      <c r="J429" s="201">
        <f>VLOOKUP(A429,MapasEqtos!$B$1:$S$10197,15,FALSE)</f>
        <v>518.85544355529464</v>
      </c>
      <c r="K429" s="201">
        <f>VLOOKUP(A429,MapasEqtos!$B$1:$S$10197,14,FALSE)</f>
        <v>649.51153587914609</v>
      </c>
      <c r="L429" s="201"/>
    </row>
    <row r="430" spans="1:12" x14ac:dyDescent="0.2">
      <c r="A430" s="393" t="s">
        <v>1509</v>
      </c>
      <c r="B430" s="393" t="s">
        <v>1653</v>
      </c>
      <c r="C430" s="93" t="s">
        <v>3</v>
      </c>
      <c r="D430" s="201">
        <f t="shared" si="501"/>
        <v>737.70665955318987</v>
      </c>
      <c r="E430" s="201">
        <f t="shared" si="502"/>
        <v>922.93868105672004</v>
      </c>
      <c r="F430" s="201">
        <f t="shared" si="503"/>
        <v>0</v>
      </c>
      <c r="H430" s="91" t="s">
        <v>2340</v>
      </c>
      <c r="J430" s="201">
        <f>VLOOKUP(A430,MapasEqtos!$B$1:$S$10197,15,FALSE)</f>
        <v>575.38932965696108</v>
      </c>
      <c r="K430" s="201">
        <f>VLOOKUP(A430,MapasEqtos!$B$1:$S$10197,14,FALSE)</f>
        <v>719.86481636121994</v>
      </c>
      <c r="L430" s="201"/>
    </row>
    <row r="431" spans="1:12" x14ac:dyDescent="0.2">
      <c r="A431" s="393" t="s">
        <v>1510</v>
      </c>
      <c r="B431" s="393" t="s">
        <v>1654</v>
      </c>
      <c r="C431" s="93" t="s">
        <v>3</v>
      </c>
      <c r="D431" s="201">
        <f t="shared" si="501"/>
        <v>818.2423210764639</v>
      </c>
      <c r="E431" s="201">
        <f t="shared" si="502"/>
        <v>1022.8029013455799</v>
      </c>
      <c r="F431" s="201">
        <f t="shared" si="503"/>
        <v>0</v>
      </c>
      <c r="H431" s="91" t="s">
        <v>2340</v>
      </c>
      <c r="J431" s="201">
        <f>VLOOKUP(A431,MapasEqtos!$B$1:$S$10197,15,FALSE)</f>
        <v>638.20475865881281</v>
      </c>
      <c r="K431" s="201">
        <f>VLOOKUP(A431,MapasEqtos!$B$1:$S$10197,14,FALSE)</f>
        <v>797.75594832351601</v>
      </c>
      <c r="L431" s="201"/>
    </row>
    <row r="432" spans="1:12" x14ac:dyDescent="0.2">
      <c r="A432" s="393" t="s">
        <v>1511</v>
      </c>
      <c r="B432" s="393" t="s">
        <v>1655</v>
      </c>
      <c r="C432" s="93" t="s">
        <v>3</v>
      </c>
      <c r="D432" s="201">
        <f t="shared" si="501"/>
        <v>810.18875492413645</v>
      </c>
      <c r="E432" s="201">
        <f t="shared" si="502"/>
        <v>1011.5279087323216</v>
      </c>
      <c r="F432" s="201">
        <f t="shared" si="503"/>
        <v>0</v>
      </c>
      <c r="H432" s="91" t="s">
        <v>2340</v>
      </c>
      <c r="J432" s="201">
        <f>VLOOKUP(A432,MapasEqtos!$B$1:$S$10197,15,FALSE)</f>
        <v>631.92321575862763</v>
      </c>
      <c r="K432" s="201">
        <f>VLOOKUP(A432,MapasEqtos!$B$1:$S$10197,14,FALSE)</f>
        <v>788.96178826325684</v>
      </c>
      <c r="L432" s="201"/>
    </row>
    <row r="433" spans="1:12" x14ac:dyDescent="0.2">
      <c r="A433" s="393" t="s">
        <v>1512</v>
      </c>
      <c r="B433" s="393" t="s">
        <v>1656</v>
      </c>
      <c r="C433" s="93" t="s">
        <v>3</v>
      </c>
      <c r="D433" s="201">
        <f t="shared" si="501"/>
        <v>1494.7418778719655</v>
      </c>
      <c r="E433" s="201">
        <f t="shared" si="502"/>
        <v>1868.4273473399571</v>
      </c>
      <c r="F433" s="201">
        <f t="shared" si="503"/>
        <v>0</v>
      </c>
      <c r="H433" s="91" t="s">
        <v>2340</v>
      </c>
      <c r="J433" s="201">
        <f>VLOOKUP(A433,MapasEqtos!$B$1:$S$10197,15,FALSE)</f>
        <v>1165.8543622743666</v>
      </c>
      <c r="K433" s="201">
        <f>VLOOKUP(A433,MapasEqtos!$B$1:$S$10197,14,FALSE)</f>
        <v>1457.3179528429584</v>
      </c>
      <c r="L433" s="201"/>
    </row>
    <row r="434" spans="1:12" x14ac:dyDescent="0.2">
      <c r="A434" s="393" t="s">
        <v>1513</v>
      </c>
      <c r="B434" s="393" t="s">
        <v>1659</v>
      </c>
      <c r="C434" s="93" t="s">
        <v>3</v>
      </c>
      <c r="D434" s="201">
        <f t="shared" si="501"/>
        <v>454.2211309912654</v>
      </c>
      <c r="E434" s="201">
        <f t="shared" si="502"/>
        <v>566.97105712384905</v>
      </c>
      <c r="F434" s="201">
        <f t="shared" si="503"/>
        <v>0</v>
      </c>
      <c r="H434" s="91" t="s">
        <v>2340</v>
      </c>
      <c r="J434" s="201">
        <f>VLOOKUP(A434,MapasEqtos!$B$1:$S$10197,15,FALSE)</f>
        <v>354.27901957044332</v>
      </c>
      <c r="K434" s="201">
        <f>VLOOKUP(A434,MapasEqtos!$B$1:$S$10197,14,FALSE)</f>
        <v>442.22062017303568</v>
      </c>
      <c r="L434" s="201"/>
    </row>
    <row r="435" spans="1:12" x14ac:dyDescent="0.2">
      <c r="A435" s="393" t="s">
        <v>1514</v>
      </c>
      <c r="B435" s="393" t="s">
        <v>1660</v>
      </c>
      <c r="C435" s="93" t="s">
        <v>3</v>
      </c>
      <c r="D435" s="201">
        <f t="shared" si="501"/>
        <v>549.25321158872862</v>
      </c>
      <c r="E435" s="201">
        <f t="shared" si="502"/>
        <v>686.16383617829467</v>
      </c>
      <c r="F435" s="201">
        <f t="shared" si="503"/>
        <v>0</v>
      </c>
      <c r="H435" s="91" t="s">
        <v>2340</v>
      </c>
      <c r="J435" s="201">
        <f>VLOOKUP(A435,MapasEqtos!$B$1:$S$10197,15,FALSE)</f>
        <v>428.40122579262822</v>
      </c>
      <c r="K435" s="201">
        <f>VLOOKUP(A435,MapasEqtos!$B$1:$S$10197,14,FALSE)</f>
        <v>535.18745509577616</v>
      </c>
      <c r="L435" s="201"/>
    </row>
    <row r="436" spans="1:12" x14ac:dyDescent="0.2">
      <c r="A436" s="393" t="s">
        <v>1515</v>
      </c>
      <c r="B436" s="393" t="s">
        <v>1661</v>
      </c>
      <c r="C436" s="93" t="s">
        <v>3</v>
      </c>
      <c r="D436" s="201">
        <f t="shared" si="501"/>
        <v>687.77454940875998</v>
      </c>
      <c r="E436" s="201">
        <f t="shared" si="502"/>
        <v>860.12086506856633</v>
      </c>
      <c r="F436" s="201">
        <f t="shared" si="503"/>
        <v>0</v>
      </c>
      <c r="H436" s="91" t="s">
        <v>2340</v>
      </c>
      <c r="J436" s="201">
        <f>VLOOKUP(A436,MapasEqtos!$B$1:$S$10197,15,FALSE)</f>
        <v>536.4437636758131</v>
      </c>
      <c r="K436" s="201">
        <f>VLOOKUP(A436,MapasEqtos!$B$1:$S$10197,14,FALSE)</f>
        <v>670.86878173977561</v>
      </c>
      <c r="L436" s="201"/>
    </row>
    <row r="437" spans="1:12" x14ac:dyDescent="0.2">
      <c r="A437" s="393" t="s">
        <v>1516</v>
      </c>
      <c r="B437" s="393" t="s">
        <v>1657</v>
      </c>
      <c r="C437" s="93" t="s">
        <v>3</v>
      </c>
      <c r="D437" s="201">
        <f t="shared" si="501"/>
        <v>818.2423210764639</v>
      </c>
      <c r="E437" s="201">
        <f t="shared" si="502"/>
        <v>1021.1921881151144</v>
      </c>
      <c r="F437" s="201">
        <f t="shared" si="503"/>
        <v>0</v>
      </c>
      <c r="H437" s="91" t="s">
        <v>2340</v>
      </c>
      <c r="J437" s="201">
        <f>VLOOKUP(A437,MapasEqtos!$B$1:$S$10197,15,FALSE)</f>
        <v>638.20475865881281</v>
      </c>
      <c r="K437" s="201">
        <f>VLOOKUP(A437,MapasEqtos!$B$1:$S$10197,14,FALSE)</f>
        <v>796.49963974347895</v>
      </c>
      <c r="L437" s="201"/>
    </row>
    <row r="438" spans="1:12" x14ac:dyDescent="0.2">
      <c r="A438" s="393" t="s">
        <v>1517</v>
      </c>
      <c r="B438" s="393" t="s">
        <v>1658</v>
      </c>
      <c r="C438" s="93" t="s">
        <v>3</v>
      </c>
      <c r="D438" s="201">
        <f t="shared" si="501"/>
        <v>267.37839625726969</v>
      </c>
      <c r="E438" s="201">
        <f t="shared" si="502"/>
        <v>333.41763870635441</v>
      </c>
      <c r="F438" s="201">
        <f t="shared" si="503"/>
        <v>0</v>
      </c>
      <c r="H438" s="91" t="s">
        <v>2340</v>
      </c>
      <c r="J438" s="201">
        <f>VLOOKUP(A438,MapasEqtos!$B$1:$S$10197,15,FALSE)</f>
        <v>208.54722428614747</v>
      </c>
      <c r="K438" s="201">
        <f>VLOOKUP(A438,MapasEqtos!$B$1:$S$10197,14,FALSE)</f>
        <v>260.05587606766585</v>
      </c>
      <c r="L438" s="201"/>
    </row>
    <row r="439" spans="1:12" x14ac:dyDescent="0.2">
      <c r="A439" s="393" t="s">
        <v>1518</v>
      </c>
      <c r="B439" s="393" t="s">
        <v>1662</v>
      </c>
      <c r="C439" s="93" t="s">
        <v>3</v>
      </c>
      <c r="D439" s="201">
        <f t="shared" ref="D439:D459" si="504">J439*$J$4</f>
        <v>4123.425869991629</v>
      </c>
      <c r="E439" s="201">
        <f t="shared" ref="E439:E459" si="505">K439*$J$4</f>
        <v>5154.2823374895361</v>
      </c>
      <c r="F439" s="201">
        <f t="shared" ref="F439:F459" si="506">L439*$J$4</f>
        <v>0</v>
      </c>
      <c r="H439" s="91" t="s">
        <v>2340</v>
      </c>
      <c r="J439" s="201">
        <f>VLOOKUP(A439,MapasEqtos!$B$1:$S$10197,15,FALSE)</f>
        <v>3216.1499648948047</v>
      </c>
      <c r="K439" s="201">
        <f>VLOOKUP(A439,MapasEqtos!$B$1:$S$10197,14,FALSE)</f>
        <v>4020.1874561185059</v>
      </c>
      <c r="L439" s="201"/>
    </row>
    <row r="440" spans="1:12" x14ac:dyDescent="0.2">
      <c r="A440" s="393" t="s">
        <v>1519</v>
      </c>
      <c r="B440" s="393" t="s">
        <v>1663</v>
      </c>
      <c r="C440" s="93" t="s">
        <v>3</v>
      </c>
      <c r="D440" s="201">
        <f t="shared" si="504"/>
        <v>3318.0692547588887</v>
      </c>
      <c r="E440" s="201">
        <f t="shared" si="505"/>
        <v>4147.5865684486116</v>
      </c>
      <c r="F440" s="201">
        <f t="shared" si="506"/>
        <v>0</v>
      </c>
      <c r="H440" s="91" t="s">
        <v>2340</v>
      </c>
      <c r="J440" s="201">
        <f>VLOOKUP(A440,MapasEqtos!$B$1:$S$10197,15,FALSE)</f>
        <v>2587.9956748762879</v>
      </c>
      <c r="K440" s="201">
        <f>VLOOKUP(A440,MapasEqtos!$B$1:$S$10197,14,FALSE)</f>
        <v>3234.9945935953601</v>
      </c>
      <c r="L440" s="201"/>
    </row>
    <row r="441" spans="1:12" x14ac:dyDescent="0.2">
      <c r="A441" s="393" t="s">
        <v>1520</v>
      </c>
      <c r="B441" s="393" t="s">
        <v>1664</v>
      </c>
      <c r="C441" s="93" t="s">
        <v>3</v>
      </c>
      <c r="D441" s="201">
        <f t="shared" si="504"/>
        <v>4142.7544287572146</v>
      </c>
      <c r="E441" s="201">
        <f t="shared" si="505"/>
        <v>5180.0537491769846</v>
      </c>
      <c r="F441" s="201">
        <f t="shared" si="506"/>
        <v>0</v>
      </c>
      <c r="H441" s="91" t="s">
        <v>2340</v>
      </c>
      <c r="J441" s="201">
        <f>VLOOKUP(A441,MapasEqtos!$B$1:$S$10197,15,FALSE)</f>
        <v>3231.2256678552485</v>
      </c>
      <c r="K441" s="201">
        <f>VLOOKUP(A441,MapasEqtos!$B$1:$S$10197,14,FALSE)</f>
        <v>4040.2883933990988</v>
      </c>
      <c r="L441" s="201"/>
    </row>
    <row r="442" spans="1:12" x14ac:dyDescent="0.2">
      <c r="A442" s="393" t="s">
        <v>1521</v>
      </c>
      <c r="B442" s="393" t="s">
        <v>1665</v>
      </c>
      <c r="C442" s="93" t="s">
        <v>3</v>
      </c>
      <c r="D442" s="201">
        <f t="shared" si="504"/>
        <v>4993.211014442988</v>
      </c>
      <c r="E442" s="201">
        <f t="shared" si="505"/>
        <v>6217.3530695967538</v>
      </c>
      <c r="F442" s="201">
        <f t="shared" si="506"/>
        <v>0</v>
      </c>
      <c r="H442" s="91" t="s">
        <v>2340</v>
      </c>
      <c r="J442" s="201">
        <f>VLOOKUP(A442,MapasEqtos!$B$1:$S$10197,15,FALSE)</f>
        <v>3894.5565981148025</v>
      </c>
      <c r="K442" s="201">
        <f>VLOOKUP(A442,MapasEqtos!$B$1:$S$10197,14,FALSE)</f>
        <v>4849.3511189429482</v>
      </c>
      <c r="L442" s="201"/>
    </row>
    <row r="443" spans="1:12" x14ac:dyDescent="0.2">
      <c r="A443" s="393" t="s">
        <v>1522</v>
      </c>
      <c r="B443" s="393" t="s">
        <v>1666</v>
      </c>
      <c r="C443" s="93" t="s">
        <v>3</v>
      </c>
      <c r="D443" s="201">
        <f t="shared" si="504"/>
        <v>5798.5676296757283</v>
      </c>
      <c r="E443" s="201">
        <f t="shared" si="505"/>
        <v>7248.2095370946599</v>
      </c>
      <c r="F443" s="201">
        <f t="shared" si="506"/>
        <v>0</v>
      </c>
      <c r="H443" s="91" t="s">
        <v>2340</v>
      </c>
      <c r="J443" s="201">
        <f>VLOOKUP(A443,MapasEqtos!$B$1:$S$10197,15,FALSE)</f>
        <v>4522.7108881333188</v>
      </c>
      <c r="K443" s="201">
        <f>VLOOKUP(A443,MapasEqtos!$B$1:$S$10197,14,FALSE)</f>
        <v>5653.3886101666485</v>
      </c>
      <c r="L443" s="201"/>
    </row>
    <row r="444" spans="1:12" x14ac:dyDescent="0.2">
      <c r="A444" s="393" t="s">
        <v>1523</v>
      </c>
      <c r="B444" s="393" t="s">
        <v>1667</v>
      </c>
      <c r="C444" s="93" t="s">
        <v>3</v>
      </c>
      <c r="D444" s="201">
        <f t="shared" si="504"/>
        <v>6046.6174671674125</v>
      </c>
      <c r="E444" s="201">
        <f t="shared" si="505"/>
        <v>7559.0771905744987</v>
      </c>
      <c r="F444" s="201">
        <f t="shared" si="506"/>
        <v>0</v>
      </c>
      <c r="H444" s="91" t="s">
        <v>2340</v>
      </c>
      <c r="J444" s="201">
        <f>VLOOKUP(A444,MapasEqtos!$B$1:$S$10197,15,FALSE)</f>
        <v>4716.182409459022</v>
      </c>
      <c r="K444" s="201">
        <f>VLOOKUP(A444,MapasEqtos!$B$1:$S$10197,14,FALSE)</f>
        <v>5895.8561661137965</v>
      </c>
      <c r="L444" s="201"/>
    </row>
    <row r="445" spans="1:12" x14ac:dyDescent="0.2">
      <c r="A445" s="393" t="s">
        <v>1524</v>
      </c>
      <c r="B445" s="393" t="s">
        <v>1668</v>
      </c>
      <c r="C445" s="93" t="s">
        <v>3</v>
      </c>
      <c r="D445" s="201">
        <f t="shared" si="504"/>
        <v>9116.6368844346161</v>
      </c>
      <c r="E445" s="201">
        <f t="shared" si="505"/>
        <v>11397.406818773738</v>
      </c>
      <c r="F445" s="201">
        <f t="shared" si="506"/>
        <v>0</v>
      </c>
      <c r="H445" s="91" t="s">
        <v>2340</v>
      </c>
      <c r="J445" s="201">
        <f>VLOOKUP(A445,MapasEqtos!$B$1:$S$10197,15,FALSE)</f>
        <v>7110.7065630096067</v>
      </c>
      <c r="K445" s="201">
        <f>VLOOKUP(A445,MapasEqtos!$B$1:$S$10197,14,FALSE)</f>
        <v>8889.6395123420461</v>
      </c>
      <c r="L445" s="201"/>
    </row>
    <row r="446" spans="1:12" x14ac:dyDescent="0.2">
      <c r="A446" s="393" t="s">
        <v>1525</v>
      </c>
      <c r="B446" s="393" t="s">
        <v>1669</v>
      </c>
      <c r="C446" s="93" t="s">
        <v>3</v>
      </c>
      <c r="D446" s="201">
        <f t="shared" si="504"/>
        <v>7352.9058970749165</v>
      </c>
      <c r="E446" s="201">
        <f t="shared" si="505"/>
        <v>9192.3404062664958</v>
      </c>
      <c r="F446" s="201">
        <f t="shared" si="506"/>
        <v>0</v>
      </c>
      <c r="H446" s="91" t="s">
        <v>2340</v>
      </c>
      <c r="J446" s="201">
        <f>VLOOKUP(A446,MapasEqtos!$B$1:$S$10197,15,FALSE)</f>
        <v>5735.0486678690559</v>
      </c>
      <c r="K446" s="201">
        <f>VLOOKUP(A446,MapasEqtos!$B$1:$S$10197,14,FALSE)</f>
        <v>7169.753066271348</v>
      </c>
      <c r="L446" s="201"/>
    </row>
    <row r="447" spans="1:12" x14ac:dyDescent="0.2">
      <c r="A447" s="393" t="s">
        <v>1526</v>
      </c>
      <c r="B447" s="393" t="s">
        <v>492</v>
      </c>
      <c r="C447" s="93" t="s">
        <v>1</v>
      </c>
      <c r="D447" s="201">
        <f t="shared" si="504"/>
        <v>32.214264609309602</v>
      </c>
      <c r="E447" s="201">
        <f t="shared" si="505"/>
        <v>35.435691070240566</v>
      </c>
      <c r="F447" s="201">
        <f t="shared" si="506"/>
        <v>0</v>
      </c>
      <c r="H447" s="91" t="s">
        <v>2340</v>
      </c>
      <c r="J447" s="201">
        <f>VLOOKUP(A447,MapasEqtos!$B$1:$S$10197,15,FALSE)</f>
        <v>25.126171600740662</v>
      </c>
      <c r="K447" s="201">
        <f>VLOOKUP(A447,MapasEqtos!$B$1:$S$10197,14,FALSE)</f>
        <v>27.63878876081473</v>
      </c>
      <c r="L447" s="201"/>
    </row>
    <row r="448" spans="1:12" x14ac:dyDescent="0.2">
      <c r="A448" s="393" t="s">
        <v>1527</v>
      </c>
      <c r="B448" s="393" t="s">
        <v>494</v>
      </c>
      <c r="C448" s="93" t="s">
        <v>1</v>
      </c>
      <c r="D448" s="201">
        <f t="shared" si="504"/>
        <v>32.214264609309602</v>
      </c>
      <c r="E448" s="201">
        <f t="shared" si="505"/>
        <v>35.435691070240559</v>
      </c>
      <c r="F448" s="201">
        <f t="shared" si="506"/>
        <v>0</v>
      </c>
      <c r="H448" s="91" t="s">
        <v>2340</v>
      </c>
      <c r="J448" s="201">
        <f>VLOOKUP(A448,MapasEqtos!$B$1:$S$10197,15,FALSE)</f>
        <v>25.126171600740662</v>
      </c>
      <c r="K448" s="201">
        <f>VLOOKUP(A448,MapasEqtos!$B$1:$S$10197,14,FALSE)</f>
        <v>27.638788760814727</v>
      </c>
      <c r="L448" s="201"/>
    </row>
    <row r="449" spans="1:12" x14ac:dyDescent="0.2">
      <c r="A449" s="393" t="s">
        <v>1528</v>
      </c>
      <c r="B449" s="393" t="s">
        <v>493</v>
      </c>
      <c r="C449" s="93" t="s">
        <v>1</v>
      </c>
      <c r="D449" s="201">
        <f t="shared" si="504"/>
        <v>32.214264609309602</v>
      </c>
      <c r="E449" s="201">
        <f t="shared" si="505"/>
        <v>35.435691070240566</v>
      </c>
      <c r="F449" s="201">
        <f t="shared" si="506"/>
        <v>0</v>
      </c>
      <c r="H449" s="91" t="s">
        <v>2340</v>
      </c>
      <c r="J449" s="201">
        <f>VLOOKUP(A449,MapasEqtos!$B$1:$S$10197,15,FALSE)</f>
        <v>25.126171600740662</v>
      </c>
      <c r="K449" s="201">
        <f>VLOOKUP(A449,MapasEqtos!$B$1:$S$10197,14,FALSE)</f>
        <v>27.63878876081473</v>
      </c>
      <c r="L449" s="201"/>
    </row>
    <row r="450" spans="1:12" x14ac:dyDescent="0.2">
      <c r="A450" s="393" t="s">
        <v>1529</v>
      </c>
      <c r="B450" s="393" t="s">
        <v>495</v>
      </c>
      <c r="C450" s="93" t="s">
        <v>57</v>
      </c>
      <c r="D450" s="201">
        <f t="shared" si="504"/>
        <v>24.160698456982203</v>
      </c>
      <c r="E450" s="201">
        <f t="shared" si="505"/>
        <v>28.992838148378642</v>
      </c>
      <c r="F450" s="201">
        <f t="shared" si="506"/>
        <v>0</v>
      </c>
      <c r="H450" s="91" t="s">
        <v>2340</v>
      </c>
      <c r="J450" s="201">
        <f>VLOOKUP(A450,MapasEqtos!$B$1:$S$10197,15,FALSE)</f>
        <v>18.844628700555496</v>
      </c>
      <c r="K450" s="201">
        <f>VLOOKUP(A450,MapasEqtos!$B$1:$S$10197,14,FALSE)</f>
        <v>22.613554440666594</v>
      </c>
      <c r="L450" s="201"/>
    </row>
    <row r="451" spans="1:12" x14ac:dyDescent="0.2">
      <c r="A451" s="393" t="s">
        <v>1530</v>
      </c>
      <c r="B451" s="393" t="s">
        <v>496</v>
      </c>
      <c r="C451" s="93" t="s">
        <v>1611</v>
      </c>
      <c r="D451" s="201">
        <f t="shared" si="504"/>
        <v>9342.1367366997856</v>
      </c>
      <c r="E451" s="201">
        <f t="shared" si="505"/>
        <v>11677.670920874732</v>
      </c>
      <c r="F451" s="201">
        <f t="shared" si="506"/>
        <v>0</v>
      </c>
      <c r="H451" s="91" t="s">
        <v>2340</v>
      </c>
      <c r="J451" s="201">
        <f>VLOOKUP(A451,MapasEqtos!$B$1:$S$10197,15,FALSE)</f>
        <v>7286.589764214792</v>
      </c>
      <c r="K451" s="201">
        <f>VLOOKUP(A451,MapasEqtos!$B$1:$S$10197,14,FALSE)</f>
        <v>9108.2372052684914</v>
      </c>
      <c r="L451" s="201"/>
    </row>
    <row r="452" spans="1:12" x14ac:dyDescent="0.2">
      <c r="A452" s="393" t="s">
        <v>1531</v>
      </c>
      <c r="B452" s="393" t="s">
        <v>1670</v>
      </c>
      <c r="C452" s="93" t="s">
        <v>3</v>
      </c>
      <c r="D452" s="201">
        <f t="shared" si="504"/>
        <v>1691.2488919887539</v>
      </c>
      <c r="E452" s="201">
        <f t="shared" si="505"/>
        <v>6603.9242449084686</v>
      </c>
      <c r="F452" s="201">
        <f t="shared" si="506"/>
        <v>0</v>
      </c>
      <c r="H452" s="91" t="s">
        <v>2340</v>
      </c>
      <c r="J452" s="201">
        <f>VLOOKUP(A452,MapasEqtos!$B$1:$S$10197,15,FALSE)</f>
        <v>1319.1240090388847</v>
      </c>
      <c r="K452" s="201">
        <f>VLOOKUP(A452,MapasEqtos!$B$1:$S$10197,14,FALSE)</f>
        <v>5150.8651781518356</v>
      </c>
      <c r="L452" s="201"/>
    </row>
    <row r="453" spans="1:12" x14ac:dyDescent="0.2">
      <c r="A453" s="393" t="s">
        <v>1532</v>
      </c>
      <c r="B453" s="393" t="s">
        <v>1671</v>
      </c>
      <c r="C453" s="93" t="s">
        <v>3</v>
      </c>
      <c r="D453" s="201">
        <f t="shared" si="504"/>
        <v>1691.2488919887539</v>
      </c>
      <c r="E453" s="201">
        <f t="shared" si="505"/>
        <v>9261.6010751765098</v>
      </c>
      <c r="F453" s="201">
        <f t="shared" si="506"/>
        <v>0</v>
      </c>
      <c r="H453" s="91" t="s">
        <v>2340</v>
      </c>
      <c r="J453" s="201">
        <f>VLOOKUP(A453,MapasEqtos!$B$1:$S$10197,15,FALSE)</f>
        <v>1319.1240090388847</v>
      </c>
      <c r="K453" s="201">
        <f>VLOOKUP(A453,MapasEqtos!$B$1:$S$10197,14,FALSE)</f>
        <v>7223.7743352129401</v>
      </c>
      <c r="L453" s="201"/>
    </row>
    <row r="454" spans="1:12" x14ac:dyDescent="0.2">
      <c r="A454" s="393" t="s">
        <v>1533</v>
      </c>
      <c r="B454" s="393" t="s">
        <v>1672</v>
      </c>
      <c r="C454" s="93" t="s">
        <v>3</v>
      </c>
      <c r="D454" s="201">
        <f t="shared" si="504"/>
        <v>1691.2488919887539</v>
      </c>
      <c r="E454" s="201">
        <f t="shared" si="505"/>
        <v>9615.9579858789166</v>
      </c>
      <c r="F454" s="201">
        <f t="shared" si="506"/>
        <v>0</v>
      </c>
      <c r="H454" s="91" t="s">
        <v>2340</v>
      </c>
      <c r="J454" s="201">
        <f>VLOOKUP(A454,MapasEqtos!$B$1:$S$10197,15,FALSE)</f>
        <v>1319.1240090388847</v>
      </c>
      <c r="K454" s="201">
        <f>VLOOKUP(A454,MapasEqtos!$B$1:$S$10197,14,FALSE)</f>
        <v>7500.1622228210872</v>
      </c>
      <c r="L454" s="201"/>
    </row>
    <row r="455" spans="1:12" x14ac:dyDescent="0.2">
      <c r="A455" s="393" t="s">
        <v>1534</v>
      </c>
      <c r="B455" s="393" t="s">
        <v>1673</v>
      </c>
      <c r="C455" s="93" t="s">
        <v>3</v>
      </c>
      <c r="D455" s="201">
        <f t="shared" si="504"/>
        <v>1691.2488919887539</v>
      </c>
      <c r="E455" s="201">
        <f t="shared" si="505"/>
        <v>10389.100336502346</v>
      </c>
      <c r="F455" s="201">
        <f t="shared" si="506"/>
        <v>0</v>
      </c>
      <c r="H455" s="91" t="s">
        <v>2340</v>
      </c>
      <c r="J455" s="201">
        <f>VLOOKUP(A455,MapasEqtos!$B$1:$S$10197,15,FALSE)</f>
        <v>1319.1240090388847</v>
      </c>
      <c r="K455" s="201">
        <f>VLOOKUP(A455,MapasEqtos!$B$1:$S$10197,14,FALSE)</f>
        <v>8103.1903412388629</v>
      </c>
      <c r="L455" s="201"/>
    </row>
    <row r="456" spans="1:12" x14ac:dyDescent="0.2">
      <c r="A456" s="393" t="s">
        <v>1535</v>
      </c>
      <c r="B456" s="393" t="s">
        <v>1674</v>
      </c>
      <c r="C456" s="93" t="s">
        <v>3</v>
      </c>
      <c r="D456" s="201">
        <f t="shared" si="504"/>
        <v>1691.2488919887539</v>
      </c>
      <c r="E456" s="201">
        <f t="shared" si="505"/>
        <v>5540.8535128012509</v>
      </c>
      <c r="F456" s="201">
        <f t="shared" si="506"/>
        <v>0</v>
      </c>
      <c r="H456" s="91" t="s">
        <v>2340</v>
      </c>
      <c r="J456" s="201">
        <f>VLOOKUP(A456,MapasEqtos!$B$1:$S$10197,15,FALSE)</f>
        <v>1319.1240090388847</v>
      </c>
      <c r="K456" s="201">
        <f>VLOOKUP(A456,MapasEqtos!$B$1:$S$10197,14,FALSE)</f>
        <v>4321.7015153273933</v>
      </c>
      <c r="L456" s="201"/>
    </row>
    <row r="457" spans="1:12" x14ac:dyDescent="0.2">
      <c r="A457" s="393" t="s">
        <v>1536</v>
      </c>
      <c r="B457" s="393" t="s">
        <v>1675</v>
      </c>
      <c r="C457" s="93" t="s">
        <v>3</v>
      </c>
      <c r="D457" s="201">
        <f t="shared" si="504"/>
        <v>1691.2488919887539</v>
      </c>
      <c r="E457" s="201">
        <f t="shared" si="505"/>
        <v>5669.7105712384891</v>
      </c>
      <c r="F457" s="201">
        <f t="shared" si="506"/>
        <v>0</v>
      </c>
      <c r="H457" s="91" t="s">
        <v>2340</v>
      </c>
      <c r="J457" s="201">
        <f>VLOOKUP(A457,MapasEqtos!$B$1:$S$10197,15,FALSE)</f>
        <v>1319.1240090388847</v>
      </c>
      <c r="K457" s="201">
        <f>VLOOKUP(A457,MapasEqtos!$B$1:$S$10197,14,FALSE)</f>
        <v>4422.206201730356</v>
      </c>
      <c r="L457" s="201"/>
    </row>
    <row r="458" spans="1:12" x14ac:dyDescent="0.2">
      <c r="A458" s="393" t="s">
        <v>1537</v>
      </c>
      <c r="B458" s="393" t="s">
        <v>1676</v>
      </c>
      <c r="C458" s="93" t="s">
        <v>3</v>
      </c>
      <c r="D458" s="201">
        <f t="shared" si="504"/>
        <v>1691.2488919887539</v>
      </c>
      <c r="E458" s="201">
        <f t="shared" si="505"/>
        <v>6764.9955679550158</v>
      </c>
      <c r="F458" s="201">
        <f t="shared" si="506"/>
        <v>0</v>
      </c>
      <c r="H458" s="91" t="s">
        <v>2340</v>
      </c>
      <c r="J458" s="201">
        <f>VLOOKUP(A458,MapasEqtos!$B$1:$S$10197,15,FALSE)</f>
        <v>1319.1240090388847</v>
      </c>
      <c r="K458" s="201">
        <f>VLOOKUP(A458,MapasEqtos!$B$1:$S$10197,14,FALSE)</f>
        <v>5276.4960361555386</v>
      </c>
      <c r="L458" s="201"/>
    </row>
    <row r="459" spans="1:12" x14ac:dyDescent="0.2">
      <c r="A459" s="393" t="s">
        <v>1538</v>
      </c>
      <c r="B459" s="393" t="s">
        <v>1677</v>
      </c>
      <c r="C459" s="93" t="s">
        <v>3</v>
      </c>
      <c r="D459" s="201">
        <f t="shared" si="504"/>
        <v>1691.2488919887539</v>
      </c>
      <c r="E459" s="201">
        <f t="shared" si="505"/>
        <v>6942.1740233062192</v>
      </c>
      <c r="F459" s="201">
        <f t="shared" si="506"/>
        <v>0</v>
      </c>
      <c r="H459" s="91" t="s">
        <v>2340</v>
      </c>
      <c r="J459" s="201">
        <f>VLOOKUP(A459,MapasEqtos!$B$1:$S$10197,15,FALSE)</f>
        <v>1319.1240090388847</v>
      </c>
      <c r="K459" s="201">
        <f>VLOOKUP(A459,MapasEqtos!$B$1:$S$10197,14,FALSE)</f>
        <v>5414.6899799596122</v>
      </c>
      <c r="L459" s="201"/>
    </row>
    <row r="460" spans="1:12" x14ac:dyDescent="0.2">
      <c r="A460" s="393" t="s">
        <v>1540</v>
      </c>
      <c r="B460" s="393" t="s">
        <v>1678</v>
      </c>
      <c r="C460" s="93" t="s">
        <v>3</v>
      </c>
      <c r="D460" s="201">
        <f t="shared" ref="D460:D523" si="507">J460*$J$4</f>
        <v>1691.2488919887539</v>
      </c>
      <c r="E460" s="201">
        <f t="shared" ref="E460:E523" si="508">K460*$J$4</f>
        <v>7103.2453463527672</v>
      </c>
      <c r="F460" s="201">
        <f t="shared" ref="F460:F523" si="509">L460*$J$4</f>
        <v>0</v>
      </c>
      <c r="H460" s="91" t="s">
        <v>2340</v>
      </c>
      <c r="J460" s="201">
        <f>VLOOKUP(A460,MapasEqtos!$B$1:$S$10197,15,FALSE)</f>
        <v>1319.1240090388847</v>
      </c>
      <c r="K460" s="201">
        <f>VLOOKUP(A460,MapasEqtos!$B$1:$S$10197,14,FALSE)</f>
        <v>5540.3208379633161</v>
      </c>
      <c r="L460" s="201"/>
    </row>
    <row r="461" spans="1:12" x14ac:dyDescent="0.2">
      <c r="A461" s="393" t="s">
        <v>1541</v>
      </c>
      <c r="B461" s="393" t="s">
        <v>1679</v>
      </c>
      <c r="C461" s="93" t="s">
        <v>3</v>
      </c>
      <c r="D461" s="201">
        <f t="shared" si="507"/>
        <v>1691.2488919887539</v>
      </c>
      <c r="E461" s="201">
        <f t="shared" si="508"/>
        <v>8230.7446076786036</v>
      </c>
      <c r="F461" s="201">
        <f t="shared" si="509"/>
        <v>0</v>
      </c>
      <c r="H461" s="91" t="s">
        <v>2340</v>
      </c>
      <c r="J461" s="201">
        <f>VLOOKUP(A461,MapasEqtos!$B$1:$S$10197,15,FALSE)</f>
        <v>1319.1240090388847</v>
      </c>
      <c r="K461" s="201">
        <f>VLOOKUP(A461,MapasEqtos!$B$1:$S$10197,14,FALSE)</f>
        <v>6419.7368439892389</v>
      </c>
      <c r="L461" s="201"/>
    </row>
    <row r="462" spans="1:12" x14ac:dyDescent="0.2">
      <c r="A462" s="393" t="s">
        <v>1542</v>
      </c>
      <c r="B462" s="393" t="s">
        <v>1680</v>
      </c>
      <c r="C462" s="93" t="s">
        <v>3</v>
      </c>
      <c r="D462" s="201">
        <f t="shared" si="507"/>
        <v>1691.2488919887539</v>
      </c>
      <c r="E462" s="201">
        <f t="shared" si="508"/>
        <v>8456.2444599437713</v>
      </c>
      <c r="F462" s="201">
        <f t="shared" si="509"/>
        <v>0</v>
      </c>
      <c r="H462" s="91" t="s">
        <v>2340</v>
      </c>
      <c r="J462" s="201">
        <f>VLOOKUP(A462,MapasEqtos!$B$1:$S$10197,15,FALSE)</f>
        <v>1319.1240090388847</v>
      </c>
      <c r="K462" s="201">
        <f>VLOOKUP(A462,MapasEqtos!$B$1:$S$10197,14,FALSE)</f>
        <v>6595.6200451944242</v>
      </c>
      <c r="L462" s="201"/>
    </row>
    <row r="463" spans="1:12" x14ac:dyDescent="0.2">
      <c r="A463" s="393" t="s">
        <v>1543</v>
      </c>
      <c r="B463" s="393" t="s">
        <v>1681</v>
      </c>
      <c r="C463" s="93" t="s">
        <v>3</v>
      </c>
      <c r="D463" s="201">
        <f t="shared" si="507"/>
        <v>1691.2488919887539</v>
      </c>
      <c r="E463" s="201">
        <f t="shared" si="508"/>
        <v>17266.845830589948</v>
      </c>
      <c r="F463" s="201">
        <f t="shared" si="509"/>
        <v>0</v>
      </c>
      <c r="H463" s="91" t="s">
        <v>2340</v>
      </c>
      <c r="J463" s="201">
        <f>VLOOKUP(A463,MapasEqtos!$B$1:$S$10197,15,FALSE)</f>
        <v>1319.1240090388847</v>
      </c>
      <c r="K463" s="201">
        <f>VLOOKUP(A463,MapasEqtos!$B$1:$S$10197,14,FALSE)</f>
        <v>13467.627977996995</v>
      </c>
      <c r="L463" s="201"/>
    </row>
    <row r="464" spans="1:12" x14ac:dyDescent="0.2">
      <c r="A464" s="393" t="s">
        <v>1544</v>
      </c>
      <c r="B464" s="393" t="s">
        <v>1612</v>
      </c>
      <c r="C464" s="93" t="s">
        <v>3</v>
      </c>
      <c r="D464" s="201">
        <f t="shared" si="507"/>
        <v>1691.2488919887539</v>
      </c>
      <c r="E464" s="201">
        <f t="shared" si="508"/>
        <v>29730.54480793183</v>
      </c>
      <c r="F464" s="201">
        <f t="shared" si="509"/>
        <v>0</v>
      </c>
      <c r="H464" s="91" t="s">
        <v>2340</v>
      </c>
      <c r="J464" s="201">
        <f>VLOOKUP(A464,MapasEqtos!$B$1:$S$10197,15,FALSE)</f>
        <v>1319.1240090388847</v>
      </c>
      <c r="K464" s="201">
        <f>VLOOKUP(A464,MapasEqtos!$B$1:$S$10197,14,FALSE)</f>
        <v>23188.943770323556</v>
      </c>
      <c r="L464" s="201"/>
    </row>
    <row r="465" spans="1:12" x14ac:dyDescent="0.2">
      <c r="A465" s="393" t="s">
        <v>1545</v>
      </c>
      <c r="B465" s="393" t="s">
        <v>1613</v>
      </c>
      <c r="C465" s="93" t="s">
        <v>3</v>
      </c>
      <c r="D465" s="201">
        <f t="shared" si="507"/>
        <v>1691.2488919887539</v>
      </c>
      <c r="E465" s="201">
        <f t="shared" si="508"/>
        <v>33824.977839775085</v>
      </c>
      <c r="F465" s="201">
        <f t="shared" si="509"/>
        <v>0</v>
      </c>
      <c r="H465" s="91" t="s">
        <v>2340</v>
      </c>
      <c r="J465" s="201">
        <f>VLOOKUP(A465,MapasEqtos!$B$1:$S$10197,15,FALSE)</f>
        <v>1319.1240090388847</v>
      </c>
      <c r="K465" s="201">
        <f>VLOOKUP(A465,MapasEqtos!$B$1:$S$10197,14,FALSE)</f>
        <v>26382.480180777697</v>
      </c>
      <c r="L465" s="201"/>
    </row>
    <row r="466" spans="1:12" x14ac:dyDescent="0.2">
      <c r="A466" s="393" t="s">
        <v>1546</v>
      </c>
      <c r="B466" s="393" t="s">
        <v>1614</v>
      </c>
      <c r="C466" s="93" t="s">
        <v>3</v>
      </c>
      <c r="D466" s="201">
        <f t="shared" si="507"/>
        <v>1691.2488919887539</v>
      </c>
      <c r="E466" s="201">
        <f t="shared" si="508"/>
        <v>50334.788452046261</v>
      </c>
      <c r="F466" s="201">
        <f t="shared" si="509"/>
        <v>0</v>
      </c>
      <c r="H466" s="91" t="s">
        <v>2340</v>
      </c>
      <c r="J466" s="201">
        <f>VLOOKUP(A466,MapasEqtos!$B$1:$S$10197,15,FALSE)</f>
        <v>1319.1240090388847</v>
      </c>
      <c r="K466" s="201">
        <f>VLOOKUP(A466,MapasEqtos!$B$1:$S$10197,14,FALSE)</f>
        <v>39259.643126157287</v>
      </c>
      <c r="L466" s="201"/>
    </row>
    <row r="467" spans="1:12" x14ac:dyDescent="0.2">
      <c r="A467" s="393" t="s">
        <v>1547</v>
      </c>
      <c r="B467" s="393" t="s">
        <v>1615</v>
      </c>
      <c r="C467" s="93" t="s">
        <v>3</v>
      </c>
      <c r="D467" s="201">
        <f t="shared" si="507"/>
        <v>1691.2488919887539</v>
      </c>
      <c r="E467" s="201">
        <f t="shared" si="508"/>
        <v>51397.859184153473</v>
      </c>
      <c r="F467" s="201">
        <f t="shared" si="509"/>
        <v>0</v>
      </c>
      <c r="H467" s="91" t="s">
        <v>2340</v>
      </c>
      <c r="J467" s="201">
        <f>VLOOKUP(A467,MapasEqtos!$B$1:$S$10197,15,FALSE)</f>
        <v>1319.1240090388847</v>
      </c>
      <c r="K467" s="201">
        <f>VLOOKUP(A467,MapasEqtos!$B$1:$S$10197,14,FALSE)</f>
        <v>40088.806788981725</v>
      </c>
      <c r="L467" s="201"/>
    </row>
    <row r="468" spans="1:12" x14ac:dyDescent="0.2">
      <c r="A468" s="393" t="s">
        <v>1548</v>
      </c>
      <c r="B468" s="393" t="s">
        <v>1616</v>
      </c>
      <c r="C468" s="93" t="s">
        <v>3</v>
      </c>
      <c r="D468" s="201">
        <f t="shared" si="507"/>
        <v>1691.2488919887539</v>
      </c>
      <c r="E468" s="201">
        <f t="shared" si="508"/>
        <v>96932.72220941259</v>
      </c>
      <c r="F468" s="201">
        <f t="shared" si="509"/>
        <v>0</v>
      </c>
      <c r="H468" s="91" t="s">
        <v>2340</v>
      </c>
      <c r="J468" s="201">
        <f>VLOOKUP(A468,MapasEqtos!$B$1:$S$10197,15,FALSE)</f>
        <v>1319.1240090388847</v>
      </c>
      <c r="K468" s="201">
        <f>VLOOKUP(A468,MapasEqtos!$B$1:$S$10197,14,FALSE)</f>
        <v>75604.650346628652</v>
      </c>
      <c r="L468" s="201"/>
    </row>
    <row r="469" spans="1:12" x14ac:dyDescent="0.2">
      <c r="A469" s="393" t="s">
        <v>1549</v>
      </c>
      <c r="B469" s="393" t="s">
        <v>1617</v>
      </c>
      <c r="C469" s="93" t="s">
        <v>3</v>
      </c>
      <c r="D469" s="201">
        <f t="shared" si="507"/>
        <v>1691.2488919887539</v>
      </c>
      <c r="E469" s="201">
        <f t="shared" si="508"/>
        <v>99058.863673627042</v>
      </c>
      <c r="F469" s="201">
        <f t="shared" si="509"/>
        <v>0</v>
      </c>
      <c r="H469" s="91" t="s">
        <v>2340</v>
      </c>
      <c r="J469" s="201">
        <f>VLOOKUP(A469,MapasEqtos!$B$1:$S$10197,15,FALSE)</f>
        <v>1319.1240090388847</v>
      </c>
      <c r="K469" s="201">
        <f>VLOOKUP(A469,MapasEqtos!$B$1:$S$10197,14,FALSE)</f>
        <v>77262.977672277542</v>
      </c>
      <c r="L469" s="201"/>
    </row>
    <row r="470" spans="1:12" x14ac:dyDescent="0.2">
      <c r="A470" s="393" t="s">
        <v>1550</v>
      </c>
      <c r="B470" s="393" t="s">
        <v>1618</v>
      </c>
      <c r="C470" s="93" t="s">
        <v>3</v>
      </c>
      <c r="D470" s="201">
        <f t="shared" si="507"/>
        <v>1691.2488919887539</v>
      </c>
      <c r="E470" s="201">
        <f t="shared" si="508"/>
        <v>140824.65773959694</v>
      </c>
      <c r="F470" s="201">
        <f t="shared" si="509"/>
        <v>0</v>
      </c>
      <c r="H470" s="91" t="s">
        <v>2340</v>
      </c>
      <c r="J470" s="201">
        <f>VLOOKUP(A470,MapasEqtos!$B$1:$S$10197,15,FALSE)</f>
        <v>1319.1240090388847</v>
      </c>
      <c r="K470" s="201">
        <f>VLOOKUP(A470,MapasEqtos!$B$1:$S$10197,14,FALSE)</f>
        <v>109839.05915263781</v>
      </c>
      <c r="L470" s="201"/>
    </row>
    <row r="471" spans="1:12" x14ac:dyDescent="0.2">
      <c r="A471" s="393" t="s">
        <v>1551</v>
      </c>
      <c r="B471" s="393" t="s">
        <v>1619</v>
      </c>
      <c r="C471" s="93" t="s">
        <v>3</v>
      </c>
      <c r="D471" s="201">
        <f t="shared" si="507"/>
        <v>1691.2488919887539</v>
      </c>
      <c r="E471" s="201">
        <f t="shared" si="508"/>
        <v>146961.47514767043</v>
      </c>
      <c r="F471" s="201">
        <f t="shared" si="509"/>
        <v>0</v>
      </c>
      <c r="H471" s="91" t="s">
        <v>2340</v>
      </c>
      <c r="J471" s="201">
        <f>VLOOKUP(A471,MapasEqtos!$B$1:$S$10197,15,FALSE)</f>
        <v>1319.1240090388847</v>
      </c>
      <c r="K471" s="201">
        <f>VLOOKUP(A471,MapasEqtos!$B$1:$S$10197,14,FALSE)</f>
        <v>114625.59484257891</v>
      </c>
      <c r="L471" s="201"/>
    </row>
    <row r="472" spans="1:12" x14ac:dyDescent="0.2">
      <c r="A472" s="393" t="s">
        <v>1552</v>
      </c>
      <c r="B472" s="393" t="s">
        <v>1620</v>
      </c>
      <c r="C472" s="93" t="s">
        <v>3</v>
      </c>
      <c r="D472" s="201">
        <f t="shared" si="507"/>
        <v>1691.2488919887539</v>
      </c>
      <c r="E472" s="201">
        <f t="shared" si="508"/>
        <v>168673.88949434509</v>
      </c>
      <c r="F472" s="201">
        <f t="shared" si="509"/>
        <v>0</v>
      </c>
      <c r="H472" s="91" t="s">
        <v>2340</v>
      </c>
      <c r="J472" s="201">
        <f>VLOOKUP(A472,MapasEqtos!$B$1:$S$10197,15,FALSE)</f>
        <v>1319.1240090388847</v>
      </c>
      <c r="K472" s="201">
        <f>VLOOKUP(A472,MapasEqtos!$B$1:$S$10197,14,FALSE)</f>
        <v>131560.63450147811</v>
      </c>
      <c r="L472" s="201"/>
    </row>
    <row r="473" spans="1:12" x14ac:dyDescent="0.2">
      <c r="A473" s="393" t="s">
        <v>1553</v>
      </c>
      <c r="B473" s="393" t="s">
        <v>498</v>
      </c>
      <c r="C473" s="93" t="s">
        <v>1611</v>
      </c>
      <c r="D473" s="201">
        <f t="shared" si="507"/>
        <v>19546.005051698598</v>
      </c>
      <c r="E473" s="201">
        <f t="shared" si="508"/>
        <v>22100.596235216854</v>
      </c>
      <c r="F473" s="201">
        <f t="shared" si="509"/>
        <v>0</v>
      </c>
      <c r="H473" s="91" t="s">
        <v>2340</v>
      </c>
      <c r="J473" s="201">
        <f>VLOOKUP(A473,MapasEqtos!$B$1:$S$10197,15,FALSE)</f>
        <v>15245.304618749395</v>
      </c>
      <c r="K473" s="201">
        <f>VLOOKUP(A473,MapasEqtos!$B$1:$S$10197,14,FALSE)</f>
        <v>17237.81002668813</v>
      </c>
      <c r="L473" s="201"/>
    </row>
    <row r="474" spans="1:12" x14ac:dyDescent="0.2">
      <c r="A474" s="393" t="s">
        <v>1554</v>
      </c>
      <c r="B474" s="393" t="s">
        <v>499</v>
      </c>
      <c r="C474" s="93" t="s">
        <v>1611</v>
      </c>
      <c r="D474" s="201">
        <f t="shared" si="507"/>
        <v>18759.976995231445</v>
      </c>
      <c r="E474" s="201">
        <f t="shared" si="508"/>
        <v>20451.2258872202</v>
      </c>
      <c r="F474" s="201">
        <f t="shared" si="509"/>
        <v>0</v>
      </c>
      <c r="H474" s="91" t="s">
        <v>2340</v>
      </c>
      <c r="J474" s="201">
        <f>VLOOKUP(A474,MapasEqtos!$B$1:$S$10197,15,FALSE)</f>
        <v>14632.226031691323</v>
      </c>
      <c r="K474" s="201">
        <f>VLOOKUP(A474,MapasEqtos!$B$1:$S$10197,14,FALSE)</f>
        <v>15951.350040730209</v>
      </c>
      <c r="L474" s="201"/>
    </row>
    <row r="475" spans="1:12" x14ac:dyDescent="0.2">
      <c r="A475" s="393" t="s">
        <v>1555</v>
      </c>
      <c r="B475" s="393" t="s">
        <v>500</v>
      </c>
      <c r="C475" s="93" t="s">
        <v>1611</v>
      </c>
      <c r="D475" s="201">
        <f t="shared" si="507"/>
        <v>2408.0162795458923</v>
      </c>
      <c r="E475" s="201">
        <f t="shared" si="508"/>
        <v>15024.733013781999</v>
      </c>
      <c r="F475" s="201">
        <f t="shared" si="509"/>
        <v>0</v>
      </c>
      <c r="H475" s="91" t="s">
        <v>2340</v>
      </c>
      <c r="J475" s="201">
        <f>VLOOKUP(A475,MapasEqtos!$B$1:$S$10197,15,FALSE)</f>
        <v>1878.1813271553642</v>
      </c>
      <c r="K475" s="201">
        <f>VLOOKUP(A475,MapasEqtos!$B$1:$S$10197,14,FALSE)</f>
        <v>11718.846434585445</v>
      </c>
      <c r="L475" s="201"/>
    </row>
    <row r="476" spans="1:12" x14ac:dyDescent="0.2">
      <c r="A476" s="393" t="s">
        <v>1556</v>
      </c>
      <c r="B476" s="393" t="s">
        <v>501</v>
      </c>
      <c r="C476" s="93" t="s">
        <v>26</v>
      </c>
      <c r="D476" s="201">
        <f t="shared" si="507"/>
        <v>3785.1760915938785</v>
      </c>
      <c r="E476" s="201">
        <f t="shared" si="508"/>
        <v>4187.8543992102486</v>
      </c>
      <c r="F476" s="201">
        <f t="shared" si="509"/>
        <v>0</v>
      </c>
      <c r="H476" s="91" t="s">
        <v>2340</v>
      </c>
      <c r="J476" s="201">
        <f>VLOOKUP(A476,MapasEqtos!$B$1:$S$10197,15,FALSE)</f>
        <v>2952.3251630870277</v>
      </c>
      <c r="K476" s="201">
        <f>VLOOKUP(A476,MapasEqtos!$B$1:$S$10197,14,FALSE)</f>
        <v>3266.4023080962861</v>
      </c>
      <c r="L476" s="201"/>
    </row>
    <row r="477" spans="1:12" x14ac:dyDescent="0.2">
      <c r="A477" s="393" t="s">
        <v>1557</v>
      </c>
      <c r="B477" s="393" t="s">
        <v>502</v>
      </c>
      <c r="C477" s="93" t="s">
        <v>1611</v>
      </c>
      <c r="D477" s="201">
        <f t="shared" si="507"/>
        <v>29314.98079447174</v>
      </c>
      <c r="E477" s="201">
        <f t="shared" si="508"/>
        <v>0</v>
      </c>
      <c r="F477" s="201">
        <f t="shared" si="509"/>
        <v>0</v>
      </c>
      <c r="H477" s="91" t="s">
        <v>2340</v>
      </c>
      <c r="J477" s="201">
        <f>VLOOKUP(A477,MapasEqtos!$B$1:$S$10197,15,FALSE)</f>
        <v>22864.816156674002</v>
      </c>
      <c r="K477" s="201">
        <f>VLOOKUP(A477,MapasEqtos!$B$1:$S$10197,14,FALSE)</f>
        <v>0</v>
      </c>
      <c r="L477" s="201"/>
    </row>
    <row r="478" spans="1:12" x14ac:dyDescent="0.2">
      <c r="A478" s="393" t="s">
        <v>1558</v>
      </c>
      <c r="B478" s="393" t="s">
        <v>503</v>
      </c>
      <c r="C478" s="93" t="s">
        <v>1611</v>
      </c>
      <c r="D478" s="201">
        <f t="shared" si="507"/>
        <v>20536.59368843487</v>
      </c>
      <c r="E478" s="201">
        <f t="shared" si="508"/>
        <v>0</v>
      </c>
      <c r="F478" s="201">
        <f t="shared" si="509"/>
        <v>0</v>
      </c>
      <c r="H478" s="91" t="s">
        <v>2340</v>
      </c>
      <c r="J478" s="201">
        <f>VLOOKUP(A478,MapasEqtos!$B$1:$S$10197,15,FALSE)</f>
        <v>16017.934395472172</v>
      </c>
      <c r="K478" s="201">
        <f>VLOOKUP(A478,MapasEqtos!$B$1:$S$10197,14,FALSE)</f>
        <v>0</v>
      </c>
      <c r="L478" s="201"/>
    </row>
    <row r="479" spans="1:12" x14ac:dyDescent="0.2">
      <c r="A479" s="393" t="s">
        <v>1559</v>
      </c>
      <c r="B479" s="393" t="s">
        <v>504</v>
      </c>
      <c r="C479" s="93" t="s">
        <v>1611</v>
      </c>
      <c r="D479" s="201">
        <f t="shared" si="507"/>
        <v>14496.41907418932</v>
      </c>
      <c r="E479" s="201">
        <f t="shared" si="508"/>
        <v>0</v>
      </c>
      <c r="F479" s="201">
        <f t="shared" si="509"/>
        <v>0</v>
      </c>
      <c r="H479" s="91" t="s">
        <v>2340</v>
      </c>
      <c r="J479" s="201">
        <f>VLOOKUP(A479,MapasEqtos!$B$1:$S$10197,15,FALSE)</f>
        <v>11306.777220333297</v>
      </c>
      <c r="K479" s="201">
        <f>VLOOKUP(A479,MapasEqtos!$B$1:$S$10197,14,FALSE)</f>
        <v>0</v>
      </c>
      <c r="L479" s="201"/>
    </row>
    <row r="480" spans="1:12" x14ac:dyDescent="0.2">
      <c r="A480" s="393" t="s">
        <v>1560</v>
      </c>
      <c r="B480" s="393" t="s">
        <v>505</v>
      </c>
      <c r="C480" s="93" t="s">
        <v>1611</v>
      </c>
      <c r="D480" s="201">
        <f t="shared" si="507"/>
        <v>10469.63599802562</v>
      </c>
      <c r="E480" s="201">
        <f t="shared" si="508"/>
        <v>0</v>
      </c>
      <c r="F480" s="201">
        <f t="shared" si="509"/>
        <v>0</v>
      </c>
      <c r="H480" s="91" t="s">
        <v>2340</v>
      </c>
      <c r="J480" s="201">
        <f>VLOOKUP(A480,MapasEqtos!$B$1:$S$10197,15,FALSE)</f>
        <v>8166.0057702407148</v>
      </c>
      <c r="K480" s="201">
        <f>VLOOKUP(A480,MapasEqtos!$B$1:$S$10197,14,FALSE)</f>
        <v>0</v>
      </c>
      <c r="L480" s="201"/>
    </row>
    <row r="481" spans="1:12" x14ac:dyDescent="0.2">
      <c r="A481" s="393" t="s">
        <v>1561</v>
      </c>
      <c r="B481" s="393" t="s">
        <v>506</v>
      </c>
      <c r="C481" s="93" t="s">
        <v>1611</v>
      </c>
      <c r="D481" s="201">
        <f t="shared" si="507"/>
        <v>9181.0654136532357</v>
      </c>
      <c r="E481" s="201">
        <f t="shared" si="508"/>
        <v>0</v>
      </c>
      <c r="F481" s="201">
        <f t="shared" si="509"/>
        <v>0</v>
      </c>
      <c r="H481" s="91" t="s">
        <v>2340</v>
      </c>
      <c r="J481" s="201">
        <f>VLOOKUP(A481,MapasEqtos!$B$1:$S$10197,15,FALSE)</f>
        <v>7160.9589062110881</v>
      </c>
      <c r="K481" s="201">
        <f>VLOOKUP(A481,MapasEqtos!$B$1:$S$10197,14,FALSE)</f>
        <v>0</v>
      </c>
      <c r="L481" s="201"/>
    </row>
    <row r="482" spans="1:12" x14ac:dyDescent="0.2">
      <c r="A482" s="393" t="s">
        <v>1562</v>
      </c>
      <c r="B482" s="393" t="s">
        <v>507</v>
      </c>
      <c r="C482" s="93" t="s">
        <v>1611</v>
      </c>
      <c r="D482" s="201">
        <f t="shared" si="507"/>
        <v>51220.680728802261</v>
      </c>
      <c r="E482" s="201">
        <f t="shared" si="508"/>
        <v>0</v>
      </c>
      <c r="F482" s="201">
        <f t="shared" si="509"/>
        <v>0</v>
      </c>
      <c r="H482" s="91" t="s">
        <v>2340</v>
      </c>
      <c r="J482" s="201">
        <f>VLOOKUP(A482,MapasEqtos!$B$1:$S$10197,15,FALSE)</f>
        <v>39950.612845177646</v>
      </c>
      <c r="K482" s="201">
        <f>VLOOKUP(A482,MapasEqtos!$B$1:$S$10197,14,FALSE)</f>
        <v>0</v>
      </c>
      <c r="L482" s="201"/>
    </row>
    <row r="483" spans="1:12" x14ac:dyDescent="0.2">
      <c r="A483" s="393" t="s">
        <v>1563</v>
      </c>
      <c r="B483" s="393" t="s">
        <v>508</v>
      </c>
      <c r="C483" s="93" t="s">
        <v>1611</v>
      </c>
      <c r="D483" s="201">
        <f t="shared" si="507"/>
        <v>1932.855876558576</v>
      </c>
      <c r="E483" s="201">
        <f t="shared" si="508"/>
        <v>0</v>
      </c>
      <c r="F483" s="201">
        <f t="shared" si="509"/>
        <v>0</v>
      </c>
      <c r="H483" s="91" t="s">
        <v>2340</v>
      </c>
      <c r="J483" s="201">
        <f>VLOOKUP(A483,MapasEqtos!$B$1:$S$10197,15,FALSE)</f>
        <v>1507.5702960444396</v>
      </c>
      <c r="K483" s="201">
        <f>VLOOKUP(A483,MapasEqtos!$B$1:$S$10197,14,FALSE)</f>
        <v>0</v>
      </c>
      <c r="L483" s="201"/>
    </row>
    <row r="484" spans="1:12" x14ac:dyDescent="0.2">
      <c r="A484" s="393" t="s">
        <v>1564</v>
      </c>
      <c r="B484" s="393" t="s">
        <v>315</v>
      </c>
      <c r="C484" s="93" t="s">
        <v>2</v>
      </c>
      <c r="D484" s="201">
        <f t="shared" si="507"/>
        <v>5.76945</v>
      </c>
      <c r="E484" s="201">
        <f t="shared" si="508"/>
        <v>9.8080649999999991</v>
      </c>
      <c r="F484" s="201">
        <f t="shared" si="509"/>
        <v>0</v>
      </c>
      <c r="H484" s="91" t="s">
        <v>2340</v>
      </c>
      <c r="J484" s="201">
        <f>VLOOKUP(A484,MapasEqtos!$B$1:$S$10197,15,FALSE)</f>
        <v>4.5</v>
      </c>
      <c r="K484" s="201">
        <f>VLOOKUP(A484,MapasEqtos!$B$1:$S$10197,14,FALSE)</f>
        <v>7.6499999999999995</v>
      </c>
      <c r="L484" s="201"/>
    </row>
    <row r="485" spans="1:12" ht="38.25" x14ac:dyDescent="0.2">
      <c r="A485" s="393" t="s">
        <v>1565</v>
      </c>
      <c r="B485" s="395" t="s">
        <v>2229</v>
      </c>
      <c r="C485" s="93" t="s">
        <v>2</v>
      </c>
      <c r="D485" s="201">
        <f t="shared" si="507"/>
        <v>4.1607368530186983</v>
      </c>
      <c r="E485" s="201">
        <f t="shared" si="508"/>
        <v>4.1193873000000005</v>
      </c>
      <c r="F485" s="201">
        <f t="shared" si="509"/>
        <v>0</v>
      </c>
      <c r="H485" s="91" t="s">
        <v>2340</v>
      </c>
      <c r="J485" s="201">
        <f>VLOOKUP(A485,MapasEqtos!$B$1:$S$10197,15,FALSE)</f>
        <v>3.2452514258004039</v>
      </c>
      <c r="K485" s="201">
        <f>VLOOKUP(A485,MapasEqtos!$B$1:$S$10197,14,FALSE)</f>
        <v>3.2130000000000001</v>
      </c>
      <c r="L485" s="201"/>
    </row>
    <row r="486" spans="1:12" x14ac:dyDescent="0.2">
      <c r="A486" s="393" t="s">
        <v>1566</v>
      </c>
      <c r="B486" s="393" t="s">
        <v>2230</v>
      </c>
      <c r="C486" s="93" t="s">
        <v>2</v>
      </c>
      <c r="D486" s="201">
        <f t="shared" si="507"/>
        <v>6.5383007690293837</v>
      </c>
      <c r="E486" s="201">
        <f t="shared" si="508"/>
        <v>6.4733229000000003</v>
      </c>
      <c r="F486" s="201">
        <f t="shared" si="509"/>
        <v>0</v>
      </c>
      <c r="H486" s="91" t="s">
        <v>2340</v>
      </c>
      <c r="J486" s="201">
        <f>VLOOKUP(A486,MapasEqtos!$B$1:$S$10197,15,FALSE)</f>
        <v>5.099680811972064</v>
      </c>
      <c r="K486" s="201">
        <f>VLOOKUP(A486,MapasEqtos!$B$1:$S$10197,14,FALSE)</f>
        <v>5.0490000000000004</v>
      </c>
      <c r="L486" s="201"/>
    </row>
    <row r="487" spans="1:12" ht="38.25" x14ac:dyDescent="0.2">
      <c r="A487" s="393" t="s">
        <v>1567</v>
      </c>
      <c r="B487" s="395" t="s">
        <v>316</v>
      </c>
      <c r="C487" s="93" t="s">
        <v>2</v>
      </c>
      <c r="D487" s="201">
        <f t="shared" si="507"/>
        <v>9.6157500000000002</v>
      </c>
      <c r="E487" s="201">
        <f t="shared" si="508"/>
        <v>9.5888259000000016</v>
      </c>
      <c r="F487" s="201">
        <f t="shared" si="509"/>
        <v>0</v>
      </c>
      <c r="H487" s="91" t="s">
        <v>2340</v>
      </c>
      <c r="J487" s="201">
        <f>VLOOKUP(A487,MapasEqtos!$B$1:$S$10197,15,FALSE)</f>
        <v>7.5</v>
      </c>
      <c r="K487" s="201">
        <f>VLOOKUP(A487,MapasEqtos!$B$1:$S$10197,14,FALSE)</f>
        <v>7.479000000000001</v>
      </c>
      <c r="L487" s="201"/>
    </row>
    <row r="488" spans="1:12" x14ac:dyDescent="0.2">
      <c r="A488" s="393" t="s">
        <v>1568</v>
      </c>
      <c r="B488" s="393" t="s">
        <v>317</v>
      </c>
      <c r="C488" s="93" t="s">
        <v>2</v>
      </c>
      <c r="D488" s="201">
        <f t="shared" si="507"/>
        <v>11.5389</v>
      </c>
      <c r="E488" s="201">
        <f t="shared" si="508"/>
        <v>17.550666900000003</v>
      </c>
      <c r="F488" s="201">
        <f t="shared" si="509"/>
        <v>0</v>
      </c>
      <c r="H488" s="91" t="s">
        <v>2340</v>
      </c>
      <c r="J488" s="201">
        <f>VLOOKUP(A488,MapasEqtos!$B$1:$S$10197,15,FALSE)</f>
        <v>9</v>
      </c>
      <c r="K488" s="201">
        <f>VLOOKUP(A488,MapasEqtos!$B$1:$S$10197,14,FALSE)</f>
        <v>13.689000000000002</v>
      </c>
      <c r="L488" s="201"/>
    </row>
    <row r="489" spans="1:12" x14ac:dyDescent="0.2">
      <c r="A489" s="393" t="s">
        <v>1569</v>
      </c>
      <c r="B489" s="393" t="s">
        <v>318</v>
      </c>
      <c r="C489" s="93" t="s">
        <v>2</v>
      </c>
      <c r="D489" s="201">
        <f t="shared" si="507"/>
        <v>11.5389</v>
      </c>
      <c r="E489" s="201">
        <f t="shared" si="508"/>
        <v>26.914484250000005</v>
      </c>
      <c r="F489" s="201">
        <f t="shared" si="509"/>
        <v>0</v>
      </c>
      <c r="H489" s="91" t="s">
        <v>2340</v>
      </c>
      <c r="J489" s="201">
        <f>VLOOKUP(A489,MapasEqtos!$B$1:$S$10197,15,FALSE)</f>
        <v>9</v>
      </c>
      <c r="K489" s="201">
        <f>VLOOKUP(A489,MapasEqtos!$B$1:$S$10197,14,FALSE)</f>
        <v>20.992500000000003</v>
      </c>
      <c r="L489" s="201"/>
    </row>
    <row r="490" spans="1:12" x14ac:dyDescent="0.2">
      <c r="A490" s="393" t="s">
        <v>1570</v>
      </c>
      <c r="B490" s="393" t="s">
        <v>319</v>
      </c>
      <c r="C490" s="93" t="s">
        <v>2</v>
      </c>
      <c r="D490" s="201">
        <f t="shared" si="507"/>
        <v>19.2315</v>
      </c>
      <c r="E490" s="201">
        <f t="shared" si="508"/>
        <v>41.477217099999997</v>
      </c>
      <c r="F490" s="201">
        <f t="shared" si="509"/>
        <v>0</v>
      </c>
      <c r="H490" s="91" t="s">
        <v>2340</v>
      </c>
      <c r="J490" s="201">
        <f>VLOOKUP(A490,MapasEqtos!$B$1:$S$10197,15,FALSE)</f>
        <v>15</v>
      </c>
      <c r="K490" s="201">
        <f>VLOOKUP(A490,MapasEqtos!$B$1:$S$10197,14,FALSE)</f>
        <v>32.350999999999999</v>
      </c>
      <c r="L490" s="201"/>
    </row>
    <row r="491" spans="1:12" x14ac:dyDescent="0.2">
      <c r="A491" s="393" t="s">
        <v>1571</v>
      </c>
      <c r="B491" s="393" t="s">
        <v>320</v>
      </c>
      <c r="C491" s="93" t="s">
        <v>2</v>
      </c>
      <c r="D491" s="201">
        <f t="shared" si="507"/>
        <v>25.00095</v>
      </c>
      <c r="E491" s="201">
        <f t="shared" si="508"/>
        <v>57.671422200000009</v>
      </c>
      <c r="F491" s="201">
        <f t="shared" si="509"/>
        <v>0</v>
      </c>
      <c r="H491" s="91" t="s">
        <v>2340</v>
      </c>
      <c r="J491" s="201">
        <f>VLOOKUP(A491,MapasEqtos!$B$1:$S$10197,15,FALSE)</f>
        <v>19.5</v>
      </c>
      <c r="K491" s="201">
        <f>VLOOKUP(A491,MapasEqtos!$B$1:$S$10197,14,FALSE)</f>
        <v>44.982000000000006</v>
      </c>
      <c r="L491" s="201"/>
    </row>
    <row r="492" spans="1:12" x14ac:dyDescent="0.2">
      <c r="A492" s="393" t="s">
        <v>1572</v>
      </c>
      <c r="B492" s="393" t="s">
        <v>321</v>
      </c>
      <c r="C492" s="93" t="s">
        <v>2</v>
      </c>
      <c r="D492" s="201">
        <f t="shared" si="507"/>
        <v>230.77799999999999</v>
      </c>
      <c r="E492" s="201">
        <f t="shared" si="508"/>
        <v>279.47792745000004</v>
      </c>
      <c r="F492" s="201">
        <f t="shared" si="509"/>
        <v>0</v>
      </c>
      <c r="H492" s="91" t="s">
        <v>2340</v>
      </c>
      <c r="J492" s="201">
        <f>VLOOKUP(A492,MapasEqtos!$B$1:$S$10197,15,FALSE)</f>
        <v>180</v>
      </c>
      <c r="K492" s="201">
        <f>VLOOKUP(A492,MapasEqtos!$B$1:$S$10197,14,FALSE)</f>
        <v>217.98450000000003</v>
      </c>
      <c r="L492" s="201"/>
    </row>
    <row r="493" spans="1:12" x14ac:dyDescent="0.2">
      <c r="A493" s="393" t="s">
        <v>1573</v>
      </c>
      <c r="B493" s="393" t="s">
        <v>322</v>
      </c>
      <c r="C493" s="93" t="s">
        <v>2</v>
      </c>
      <c r="D493" s="201">
        <f t="shared" si="507"/>
        <v>9.6850765402199954</v>
      </c>
      <c r="E493" s="201">
        <f t="shared" si="508"/>
        <v>9.5888259000000016</v>
      </c>
      <c r="F493" s="201">
        <f t="shared" si="509"/>
        <v>0</v>
      </c>
      <c r="H493" s="91" t="s">
        <v>2340</v>
      </c>
      <c r="J493" s="201">
        <f>VLOOKUP(A493,MapasEqtos!$B$1:$S$10197,15,FALSE)</f>
        <v>7.5540726466110257</v>
      </c>
      <c r="K493" s="201">
        <f>VLOOKUP(A493,MapasEqtos!$B$1:$S$10197,14,FALSE)</f>
        <v>7.479000000000001</v>
      </c>
      <c r="L493" s="201"/>
    </row>
    <row r="494" spans="1:12" x14ac:dyDescent="0.2">
      <c r="A494" s="393" t="s">
        <v>1574</v>
      </c>
      <c r="B494" s="393" t="s">
        <v>323</v>
      </c>
      <c r="C494" s="93" t="s">
        <v>2</v>
      </c>
      <c r="D494" s="201">
        <f t="shared" si="507"/>
        <v>11.5389</v>
      </c>
      <c r="E494" s="201">
        <f t="shared" si="508"/>
        <v>17.550666900000003</v>
      </c>
      <c r="F494" s="201">
        <f t="shared" si="509"/>
        <v>0</v>
      </c>
      <c r="H494" s="91" t="s">
        <v>2340</v>
      </c>
      <c r="J494" s="201">
        <f>VLOOKUP(A494,MapasEqtos!$B$1:$S$10197,15,FALSE)</f>
        <v>9</v>
      </c>
      <c r="K494" s="201">
        <f>VLOOKUP(A494,MapasEqtos!$B$1:$S$10197,14,FALSE)</f>
        <v>13.689000000000002</v>
      </c>
      <c r="L494" s="201"/>
    </row>
    <row r="495" spans="1:12" x14ac:dyDescent="0.2">
      <c r="A495" s="393" t="s">
        <v>1575</v>
      </c>
      <c r="B495" s="393" t="s">
        <v>324</v>
      </c>
      <c r="C495" s="93" t="s">
        <v>2</v>
      </c>
      <c r="D495" s="201">
        <f t="shared" si="507"/>
        <v>11.5389</v>
      </c>
      <c r="E495" s="201">
        <f t="shared" si="508"/>
        <v>26.914484250000005</v>
      </c>
      <c r="F495" s="201">
        <f t="shared" si="509"/>
        <v>0</v>
      </c>
      <c r="H495" s="91" t="s">
        <v>2340</v>
      </c>
      <c r="J495" s="201">
        <f>VLOOKUP(A495,MapasEqtos!$B$1:$S$10197,15,FALSE)</f>
        <v>9</v>
      </c>
      <c r="K495" s="201">
        <f>VLOOKUP(A495,MapasEqtos!$B$1:$S$10197,14,FALSE)</f>
        <v>20.992500000000003</v>
      </c>
      <c r="L495" s="201"/>
    </row>
    <row r="496" spans="1:12" x14ac:dyDescent="0.2">
      <c r="A496" s="393" t="s">
        <v>1576</v>
      </c>
      <c r="B496" s="393" t="s">
        <v>325</v>
      </c>
      <c r="C496" s="93" t="s">
        <v>2</v>
      </c>
      <c r="D496" s="201">
        <f t="shared" si="507"/>
        <v>19.2315</v>
      </c>
      <c r="E496" s="201">
        <f t="shared" si="508"/>
        <v>41.477217099999997</v>
      </c>
      <c r="F496" s="201">
        <f t="shared" si="509"/>
        <v>0</v>
      </c>
      <c r="H496" s="91" t="s">
        <v>2340</v>
      </c>
      <c r="J496" s="201">
        <f>VLOOKUP(A496,MapasEqtos!$B$1:$S$10197,15,FALSE)</f>
        <v>15</v>
      </c>
      <c r="K496" s="201">
        <f>VLOOKUP(A496,MapasEqtos!$B$1:$S$10197,14,FALSE)</f>
        <v>32.350999999999999</v>
      </c>
      <c r="L496" s="201"/>
    </row>
    <row r="497" spans="1:12" x14ac:dyDescent="0.2">
      <c r="A497" s="393" t="s">
        <v>1577</v>
      </c>
      <c r="B497" s="393" t="s">
        <v>326</v>
      </c>
      <c r="C497" s="93" t="s">
        <v>2</v>
      </c>
      <c r="D497" s="201">
        <f t="shared" si="507"/>
        <v>38.463000000000001</v>
      </c>
      <c r="E497" s="201">
        <f t="shared" si="508"/>
        <v>81.366553350000004</v>
      </c>
      <c r="F497" s="201">
        <f t="shared" si="509"/>
        <v>0</v>
      </c>
      <c r="H497" s="91" t="s">
        <v>2340</v>
      </c>
      <c r="J497" s="201">
        <f>VLOOKUP(A497,MapasEqtos!$B$1:$S$10197,15,FALSE)</f>
        <v>30</v>
      </c>
      <c r="K497" s="201">
        <f>VLOOKUP(A497,MapasEqtos!$B$1:$S$10197,14,FALSE)</f>
        <v>63.463500000000003</v>
      </c>
      <c r="L497" s="201"/>
    </row>
    <row r="498" spans="1:12" x14ac:dyDescent="0.2">
      <c r="A498" s="393" t="s">
        <v>1578</v>
      </c>
      <c r="B498" s="393" t="s">
        <v>327</v>
      </c>
      <c r="C498" s="93" t="s">
        <v>2</v>
      </c>
      <c r="D498" s="201">
        <f t="shared" si="507"/>
        <v>134.62049999999999</v>
      </c>
      <c r="E498" s="201">
        <f t="shared" si="508"/>
        <v>154.2173985</v>
      </c>
      <c r="F498" s="201">
        <f t="shared" si="509"/>
        <v>0</v>
      </c>
      <c r="H498" s="91" t="s">
        <v>2340</v>
      </c>
      <c r="J498" s="201">
        <f>VLOOKUP(A498,MapasEqtos!$B$1:$S$10197,15,FALSE)</f>
        <v>105</v>
      </c>
      <c r="K498" s="201">
        <f>VLOOKUP(A498,MapasEqtos!$B$1:$S$10197,14,FALSE)</f>
        <v>120.285</v>
      </c>
      <c r="L498" s="201"/>
    </row>
    <row r="499" spans="1:12" x14ac:dyDescent="0.2">
      <c r="A499" s="393" t="s">
        <v>1579</v>
      </c>
      <c r="B499" s="393" t="s">
        <v>328</v>
      </c>
      <c r="C499" s="93" t="s">
        <v>2</v>
      </c>
      <c r="D499" s="201">
        <f t="shared" si="507"/>
        <v>230.77799999999999</v>
      </c>
      <c r="E499" s="201">
        <f t="shared" si="508"/>
        <v>362.57146949999998</v>
      </c>
      <c r="F499" s="201">
        <f t="shared" si="509"/>
        <v>0</v>
      </c>
      <c r="H499" s="91" t="s">
        <v>2340</v>
      </c>
      <c r="J499" s="201">
        <f>VLOOKUP(A499,MapasEqtos!$B$1:$S$10197,15,FALSE)</f>
        <v>180</v>
      </c>
      <c r="K499" s="201">
        <f>VLOOKUP(A499,MapasEqtos!$B$1:$S$10197,14,FALSE)</f>
        <v>282.79499999999996</v>
      </c>
      <c r="L499" s="201"/>
    </row>
    <row r="500" spans="1:12" x14ac:dyDescent="0.2">
      <c r="A500" s="393" t="s">
        <v>1580</v>
      </c>
      <c r="B500" s="393" t="s">
        <v>329</v>
      </c>
      <c r="C500" s="93" t="s">
        <v>2</v>
      </c>
      <c r="D500" s="201">
        <f t="shared" si="507"/>
        <v>42.166795333954198</v>
      </c>
      <c r="E500" s="201">
        <f t="shared" si="508"/>
        <v>15.126215800000001</v>
      </c>
      <c r="F500" s="201">
        <f t="shared" si="509"/>
        <v>0</v>
      </c>
      <c r="H500" s="91" t="s">
        <v>2340</v>
      </c>
      <c r="J500" s="201">
        <f>VLOOKUP(A500,MapasEqtos!$B$1:$S$10197,15,FALSE)</f>
        <v>32.888850584162078</v>
      </c>
      <c r="K500" s="201">
        <f>VLOOKUP(A500,MapasEqtos!$B$1:$S$10197,14,FALSE)</f>
        <v>11.798</v>
      </c>
      <c r="L500" s="201"/>
    </row>
    <row r="501" spans="1:12" x14ac:dyDescent="0.2">
      <c r="A501" s="393" t="s">
        <v>1581</v>
      </c>
      <c r="B501" s="393" t="s">
        <v>330</v>
      </c>
      <c r="C501" s="93" t="s">
        <v>2</v>
      </c>
      <c r="D501" s="201">
        <f t="shared" si="507"/>
        <v>52.516191203647779</v>
      </c>
      <c r="E501" s="201">
        <f t="shared" si="508"/>
        <v>19.085767966666666</v>
      </c>
      <c r="F501" s="201">
        <f t="shared" si="509"/>
        <v>0</v>
      </c>
      <c r="H501" s="91" t="s">
        <v>2340</v>
      </c>
      <c r="J501" s="201">
        <f>VLOOKUP(A501,MapasEqtos!$B$1:$S$10197,15,FALSE)</f>
        <v>40.96107261808578</v>
      </c>
      <c r="K501" s="201">
        <f>VLOOKUP(A501,MapasEqtos!$B$1:$S$10197,14,FALSE)</f>
        <v>14.886333333333331</v>
      </c>
      <c r="L501" s="201"/>
    </row>
    <row r="502" spans="1:12" x14ac:dyDescent="0.2">
      <c r="A502" s="393" t="s">
        <v>1582</v>
      </c>
      <c r="B502" s="393" t="s">
        <v>331</v>
      </c>
      <c r="C502" s="93" t="s">
        <v>2</v>
      </c>
      <c r="D502" s="201">
        <f t="shared" si="507"/>
        <v>57.694499999999998</v>
      </c>
      <c r="E502" s="201">
        <f t="shared" si="508"/>
        <v>40.220331733333332</v>
      </c>
      <c r="F502" s="201">
        <f t="shared" si="509"/>
        <v>0</v>
      </c>
      <c r="H502" s="91" t="s">
        <v>2340</v>
      </c>
      <c r="J502" s="201">
        <f>VLOOKUP(A502,MapasEqtos!$B$1:$S$10197,15,FALSE)</f>
        <v>45</v>
      </c>
      <c r="K502" s="201">
        <f>VLOOKUP(A502,MapasEqtos!$B$1:$S$10197,14,FALSE)</f>
        <v>31.370666666666665</v>
      </c>
      <c r="L502" s="201"/>
    </row>
    <row r="503" spans="1:12" x14ac:dyDescent="0.2">
      <c r="A503" s="393" t="s">
        <v>1583</v>
      </c>
      <c r="B503" s="393" t="s">
        <v>332</v>
      </c>
      <c r="C503" s="93" t="s">
        <v>2</v>
      </c>
      <c r="D503" s="201">
        <f t="shared" si="507"/>
        <v>57.694499999999998</v>
      </c>
      <c r="E503" s="201">
        <f t="shared" si="508"/>
        <v>54.0751317</v>
      </c>
      <c r="F503" s="201">
        <f t="shared" si="509"/>
        <v>0</v>
      </c>
      <c r="H503" s="91" t="s">
        <v>2340</v>
      </c>
      <c r="J503" s="201">
        <f>VLOOKUP(A503,MapasEqtos!$B$1:$S$10197,15,FALSE)</f>
        <v>45</v>
      </c>
      <c r="K503" s="201">
        <f>VLOOKUP(A503,MapasEqtos!$B$1:$S$10197,14,FALSE)</f>
        <v>42.177</v>
      </c>
      <c r="L503" s="201"/>
    </row>
    <row r="504" spans="1:12" x14ac:dyDescent="0.2">
      <c r="A504" s="393" t="s">
        <v>1584</v>
      </c>
      <c r="B504" s="393" t="s">
        <v>333</v>
      </c>
      <c r="C504" s="93" t="s">
        <v>2</v>
      </c>
      <c r="D504" s="201">
        <f t="shared" si="507"/>
        <v>57.694499999999998</v>
      </c>
      <c r="E504" s="201">
        <f t="shared" si="508"/>
        <v>139.60145849999998</v>
      </c>
      <c r="F504" s="201">
        <f t="shared" si="509"/>
        <v>0</v>
      </c>
      <c r="H504" s="91" t="s">
        <v>2340</v>
      </c>
      <c r="J504" s="201">
        <f>VLOOKUP(A504,MapasEqtos!$B$1:$S$10197,15,FALSE)</f>
        <v>45</v>
      </c>
      <c r="K504" s="201">
        <f>VLOOKUP(A504,MapasEqtos!$B$1:$S$10197,14,FALSE)</f>
        <v>108.88499999999999</v>
      </c>
      <c r="L504" s="201"/>
    </row>
    <row r="505" spans="1:12" x14ac:dyDescent="0.2">
      <c r="A505" s="393" t="s">
        <v>1585</v>
      </c>
      <c r="B505" s="393" t="s">
        <v>334</v>
      </c>
      <c r="C505" s="93" t="s">
        <v>2</v>
      </c>
      <c r="D505" s="201">
        <f t="shared" si="507"/>
        <v>27.272056683651979</v>
      </c>
      <c r="E505" s="201">
        <f t="shared" si="508"/>
        <v>9.161459233333332</v>
      </c>
      <c r="F505" s="201">
        <f t="shared" si="509"/>
        <v>0</v>
      </c>
      <c r="H505" s="91" t="s">
        <v>2340</v>
      </c>
      <c r="J505" s="201">
        <f>VLOOKUP(A505,MapasEqtos!$B$1:$S$10197,15,FALSE)</f>
        <v>21.271395900204336</v>
      </c>
      <c r="K505" s="201">
        <f>VLOOKUP(A505,MapasEqtos!$B$1:$S$10197,14,FALSE)</f>
        <v>7.1456666666666662</v>
      </c>
      <c r="L505" s="201"/>
    </row>
    <row r="506" spans="1:12" x14ac:dyDescent="0.2">
      <c r="A506" s="393" t="s">
        <v>1586</v>
      </c>
      <c r="B506" s="393" t="s">
        <v>335</v>
      </c>
      <c r="C506" s="93" t="s">
        <v>2</v>
      </c>
      <c r="D506" s="201">
        <f t="shared" si="507"/>
        <v>33.967696241240887</v>
      </c>
      <c r="E506" s="201">
        <f t="shared" si="508"/>
        <v>13.963778466666666</v>
      </c>
      <c r="F506" s="201">
        <f t="shared" si="509"/>
        <v>0</v>
      </c>
      <c r="H506" s="91" t="s">
        <v>2340</v>
      </c>
      <c r="J506" s="201">
        <f>VLOOKUP(A506,MapasEqtos!$B$1:$S$10197,15,FALSE)</f>
        <v>26.493796303908344</v>
      </c>
      <c r="K506" s="201">
        <f>VLOOKUP(A506,MapasEqtos!$B$1:$S$10197,14,FALSE)</f>
        <v>10.891333333333332</v>
      </c>
      <c r="L506" s="201"/>
    </row>
    <row r="507" spans="1:12" x14ac:dyDescent="0.2">
      <c r="A507" s="393" t="s">
        <v>1587</v>
      </c>
      <c r="B507" s="393" t="s">
        <v>336</v>
      </c>
      <c r="C507" s="93" t="s">
        <v>2</v>
      </c>
      <c r="D507" s="201">
        <f t="shared" si="507"/>
        <v>57.694499999999998</v>
      </c>
      <c r="E507" s="201">
        <f t="shared" si="508"/>
        <v>33.027750733333335</v>
      </c>
      <c r="F507" s="201">
        <f t="shared" si="509"/>
        <v>0</v>
      </c>
      <c r="H507" s="91" t="s">
        <v>2340</v>
      </c>
      <c r="J507" s="201">
        <f>VLOOKUP(A507,MapasEqtos!$B$1:$S$10197,15,FALSE)</f>
        <v>45</v>
      </c>
      <c r="K507" s="201">
        <f>VLOOKUP(A507,MapasEqtos!$B$1:$S$10197,14,FALSE)</f>
        <v>25.760666666666669</v>
      </c>
      <c r="L507" s="201"/>
    </row>
    <row r="508" spans="1:12" x14ac:dyDescent="0.2">
      <c r="A508" s="393" t="s">
        <v>1588</v>
      </c>
      <c r="B508" s="393" t="s">
        <v>337</v>
      </c>
      <c r="C508" s="93" t="s">
        <v>2</v>
      </c>
      <c r="D508" s="201">
        <f t="shared" si="507"/>
        <v>11.363356951521654</v>
      </c>
      <c r="E508" s="201">
        <f t="shared" si="508"/>
        <v>11.250427500000001</v>
      </c>
      <c r="F508" s="201">
        <f t="shared" si="509"/>
        <v>0</v>
      </c>
      <c r="H508" s="91" t="s">
        <v>2340</v>
      </c>
      <c r="J508" s="201">
        <f>VLOOKUP(A508,MapasEqtos!$B$1:$S$10197,15,FALSE)</f>
        <v>8.8630816250851367</v>
      </c>
      <c r="K508" s="201">
        <f>VLOOKUP(A508,MapasEqtos!$B$1:$S$10197,14,FALSE)</f>
        <v>8.7750000000000004</v>
      </c>
      <c r="L508" s="201"/>
    </row>
    <row r="509" spans="1:12" x14ac:dyDescent="0.2">
      <c r="A509" s="393" t="s">
        <v>1589</v>
      </c>
      <c r="B509" s="393" t="s">
        <v>340</v>
      </c>
      <c r="C509" s="93" t="s">
        <v>3</v>
      </c>
      <c r="D509" s="201">
        <f t="shared" si="507"/>
        <v>4.3705219044314054</v>
      </c>
      <c r="E509" s="201">
        <f t="shared" si="508"/>
        <v>3.5309034000000001</v>
      </c>
      <c r="F509" s="201">
        <f t="shared" si="509"/>
        <v>0</v>
      </c>
      <c r="H509" s="91" t="s">
        <v>2340</v>
      </c>
      <c r="J509" s="201">
        <f>VLOOKUP(A509,MapasEqtos!$B$1:$S$10197,15,FALSE)</f>
        <v>3.4088775481096683</v>
      </c>
      <c r="K509" s="201">
        <f>VLOOKUP(A509,MapasEqtos!$B$1:$S$10197,14,FALSE)</f>
        <v>2.754</v>
      </c>
      <c r="L509" s="201"/>
    </row>
    <row r="510" spans="1:12" x14ac:dyDescent="0.2">
      <c r="A510" s="393" t="s">
        <v>1590</v>
      </c>
      <c r="B510" s="393" t="s">
        <v>341</v>
      </c>
      <c r="C510" s="93" t="s">
        <v>3</v>
      </c>
      <c r="D510" s="201">
        <f t="shared" si="507"/>
        <v>6.1187306662039687</v>
      </c>
      <c r="E510" s="201">
        <f t="shared" si="508"/>
        <v>6.057922500000001</v>
      </c>
      <c r="F510" s="201">
        <f t="shared" si="509"/>
        <v>0</v>
      </c>
      <c r="H510" s="91" t="s">
        <v>2340</v>
      </c>
      <c r="J510" s="201">
        <f>VLOOKUP(A510,MapasEqtos!$B$1:$S$10197,15,FALSE)</f>
        <v>4.7724285673535363</v>
      </c>
      <c r="K510" s="201">
        <f>VLOOKUP(A510,MapasEqtos!$B$1:$S$10197,14,FALSE)</f>
        <v>4.7250000000000005</v>
      </c>
      <c r="L510" s="201"/>
    </row>
    <row r="511" spans="1:12" x14ac:dyDescent="0.2">
      <c r="A511" s="393" t="s">
        <v>1591</v>
      </c>
      <c r="B511" s="393" t="s">
        <v>342</v>
      </c>
      <c r="C511" s="93" t="s">
        <v>3</v>
      </c>
      <c r="D511" s="201">
        <f t="shared" si="507"/>
        <v>60.085935142122963</v>
      </c>
      <c r="E511" s="201">
        <f t="shared" si="508"/>
        <v>32.039679</v>
      </c>
      <c r="F511" s="201">
        <f t="shared" si="509"/>
        <v>0</v>
      </c>
      <c r="H511" s="91" t="s">
        <v>2340</v>
      </c>
      <c r="J511" s="201">
        <f>VLOOKUP(A511,MapasEqtos!$B$1:$S$10197,15,FALSE)</f>
        <v>46.865248531411716</v>
      </c>
      <c r="K511" s="201">
        <f>VLOOKUP(A511,MapasEqtos!$B$1:$S$10197,14,FALSE)</f>
        <v>24.99</v>
      </c>
      <c r="L511" s="201"/>
    </row>
    <row r="512" spans="1:12" x14ac:dyDescent="0.2">
      <c r="A512" s="393" t="s">
        <v>1592</v>
      </c>
      <c r="B512" s="393" t="s">
        <v>343</v>
      </c>
      <c r="C512" s="93" t="s">
        <v>3</v>
      </c>
      <c r="D512" s="201">
        <f t="shared" si="507"/>
        <v>90.959301875026426</v>
      </c>
      <c r="E512" s="201">
        <f t="shared" si="508"/>
        <v>44.855550599999994</v>
      </c>
      <c r="F512" s="201">
        <f t="shared" si="509"/>
        <v>0</v>
      </c>
      <c r="H512" s="91" t="s">
        <v>2340</v>
      </c>
      <c r="J512" s="201">
        <f>VLOOKUP(A512,MapasEqtos!$B$1:$S$10197,15,FALSE)</f>
        <v>70.945559531258425</v>
      </c>
      <c r="K512" s="201">
        <f>VLOOKUP(A512,MapasEqtos!$B$1:$S$10197,14,FALSE)</f>
        <v>34.985999999999997</v>
      </c>
      <c r="L512" s="201"/>
    </row>
    <row r="513" spans="1:12" x14ac:dyDescent="0.2">
      <c r="A513" s="393" t="s">
        <v>1593</v>
      </c>
      <c r="B513" s="393" t="s">
        <v>344</v>
      </c>
      <c r="C513" s="93" t="s">
        <v>26</v>
      </c>
      <c r="D513" s="201">
        <f t="shared" si="507"/>
        <v>3846.3</v>
      </c>
      <c r="E513" s="201">
        <f t="shared" si="508"/>
        <v>1743.6559999999999</v>
      </c>
      <c r="F513" s="201">
        <f t="shared" si="509"/>
        <v>0</v>
      </c>
      <c r="H513" s="91" t="s">
        <v>2340</v>
      </c>
      <c r="J513" s="201">
        <f>VLOOKUP(A513,MapasEqtos!$B$1:$S$10197,15,FALSE)</f>
        <v>3000</v>
      </c>
      <c r="K513" s="201">
        <f>VLOOKUP(A513,MapasEqtos!$B$1:$S$10197,14,FALSE)</f>
        <v>1360</v>
      </c>
      <c r="L513" s="201"/>
    </row>
    <row r="514" spans="1:12" x14ac:dyDescent="0.2">
      <c r="A514" s="393" t="s">
        <v>1594</v>
      </c>
      <c r="B514" s="393" t="s">
        <v>345</v>
      </c>
      <c r="C514" s="93" t="s">
        <v>26</v>
      </c>
      <c r="D514" s="201">
        <f t="shared" si="507"/>
        <v>3846.3</v>
      </c>
      <c r="E514" s="201">
        <f t="shared" si="508"/>
        <v>1307.742</v>
      </c>
      <c r="F514" s="201">
        <f t="shared" si="509"/>
        <v>0</v>
      </c>
      <c r="H514" s="91" t="s">
        <v>2340</v>
      </c>
      <c r="J514" s="201">
        <f>VLOOKUP(A514,MapasEqtos!$B$1:$S$10197,15,FALSE)</f>
        <v>3000</v>
      </c>
      <c r="K514" s="201">
        <f>VLOOKUP(A514,MapasEqtos!$B$1:$S$10197,14,FALSE)</f>
        <v>1020</v>
      </c>
      <c r="L514" s="201"/>
    </row>
    <row r="515" spans="1:12" x14ac:dyDescent="0.2">
      <c r="A515" s="393" t="s">
        <v>1595</v>
      </c>
      <c r="B515" s="393" t="s">
        <v>350</v>
      </c>
      <c r="C515" s="93" t="s">
        <v>3</v>
      </c>
      <c r="D515" s="201">
        <f t="shared" si="507"/>
        <v>28.847249999999999</v>
      </c>
      <c r="E515" s="201">
        <f t="shared" si="508"/>
        <v>11.137602700000002</v>
      </c>
      <c r="F515" s="201">
        <f t="shared" si="509"/>
        <v>0</v>
      </c>
      <c r="H515" s="91" t="s">
        <v>2340</v>
      </c>
      <c r="J515" s="201">
        <f>VLOOKUP(A515,MapasEqtos!$B$1:$S$10197,15,FALSE)</f>
        <v>22.5</v>
      </c>
      <c r="K515" s="201">
        <f>VLOOKUP(A515,MapasEqtos!$B$1:$S$10197,14,FALSE)</f>
        <v>8.6870000000000012</v>
      </c>
      <c r="L515" s="201"/>
    </row>
    <row r="516" spans="1:12" x14ac:dyDescent="0.2">
      <c r="A516" s="393" t="s">
        <v>1596</v>
      </c>
      <c r="B516" s="393" t="s">
        <v>351</v>
      </c>
      <c r="C516" s="93" t="s">
        <v>3</v>
      </c>
      <c r="D516" s="201">
        <f t="shared" si="507"/>
        <v>28.847249999999999</v>
      </c>
      <c r="E516" s="201">
        <f t="shared" si="508"/>
        <v>13.012032899999999</v>
      </c>
      <c r="F516" s="201">
        <f t="shared" si="509"/>
        <v>0</v>
      </c>
      <c r="H516" s="91" t="s">
        <v>2340</v>
      </c>
      <c r="J516" s="201">
        <f>VLOOKUP(A516,MapasEqtos!$B$1:$S$10197,15,FALSE)</f>
        <v>22.5</v>
      </c>
      <c r="K516" s="201">
        <f>VLOOKUP(A516,MapasEqtos!$B$1:$S$10197,14,FALSE)</f>
        <v>10.148999999999999</v>
      </c>
      <c r="L516" s="201"/>
    </row>
    <row r="517" spans="1:12" x14ac:dyDescent="0.2">
      <c r="A517" s="393" t="s">
        <v>1597</v>
      </c>
      <c r="B517" s="393" t="s">
        <v>352</v>
      </c>
      <c r="C517" s="93" t="s">
        <v>3</v>
      </c>
      <c r="D517" s="201">
        <f t="shared" si="507"/>
        <v>28.847249999999999</v>
      </c>
      <c r="E517" s="201">
        <f t="shared" si="508"/>
        <v>13.012032899999999</v>
      </c>
      <c r="F517" s="201">
        <f t="shared" si="509"/>
        <v>0</v>
      </c>
      <c r="H517" s="91" t="s">
        <v>2340</v>
      </c>
      <c r="J517" s="201">
        <f>VLOOKUP(A517,MapasEqtos!$B$1:$S$10197,15,FALSE)</f>
        <v>22.5</v>
      </c>
      <c r="K517" s="201">
        <f>VLOOKUP(A517,MapasEqtos!$B$1:$S$10197,14,FALSE)</f>
        <v>10.148999999999999</v>
      </c>
      <c r="L517" s="201"/>
    </row>
    <row r="518" spans="1:12" x14ac:dyDescent="0.2">
      <c r="A518" s="393" t="s">
        <v>1598</v>
      </c>
      <c r="B518" s="393" t="s">
        <v>353</v>
      </c>
      <c r="C518" s="93" t="s">
        <v>3</v>
      </c>
      <c r="D518" s="201">
        <f t="shared" si="507"/>
        <v>28.847249999999999</v>
      </c>
      <c r="E518" s="201">
        <f t="shared" si="508"/>
        <v>38.927120199999997</v>
      </c>
      <c r="F518" s="201">
        <f t="shared" si="509"/>
        <v>0</v>
      </c>
      <c r="H518" s="91" t="s">
        <v>2340</v>
      </c>
      <c r="J518" s="201">
        <f>VLOOKUP(A518,MapasEqtos!$B$1:$S$10197,15,FALSE)</f>
        <v>22.5</v>
      </c>
      <c r="K518" s="201">
        <f>VLOOKUP(A518,MapasEqtos!$B$1:$S$10197,14,FALSE)</f>
        <v>30.361999999999998</v>
      </c>
      <c r="L518" s="201"/>
    </row>
    <row r="519" spans="1:12" x14ac:dyDescent="0.2">
      <c r="A519" s="393" t="s">
        <v>1599</v>
      </c>
      <c r="B519" s="393" t="s">
        <v>354</v>
      </c>
      <c r="C519" s="93" t="s">
        <v>3</v>
      </c>
      <c r="D519" s="201">
        <f t="shared" si="507"/>
        <v>28.847249999999999</v>
      </c>
      <c r="E519" s="201">
        <f t="shared" si="508"/>
        <v>40.518206299999996</v>
      </c>
      <c r="F519" s="201">
        <f t="shared" si="509"/>
        <v>0</v>
      </c>
      <c r="H519" s="91" t="s">
        <v>2340</v>
      </c>
      <c r="J519" s="201">
        <f>VLOOKUP(A519,MapasEqtos!$B$1:$S$10197,15,FALSE)</f>
        <v>22.5</v>
      </c>
      <c r="K519" s="201">
        <f>VLOOKUP(A519,MapasEqtos!$B$1:$S$10197,14,FALSE)</f>
        <v>31.602999999999998</v>
      </c>
      <c r="L519" s="201"/>
    </row>
    <row r="520" spans="1:12" x14ac:dyDescent="0.2">
      <c r="A520" s="393" t="s">
        <v>1600</v>
      </c>
      <c r="B520" s="393" t="s">
        <v>355</v>
      </c>
      <c r="C520" s="93" t="s">
        <v>3</v>
      </c>
      <c r="D520" s="201">
        <f t="shared" si="507"/>
        <v>28.847249999999999</v>
      </c>
      <c r="E520" s="201">
        <f t="shared" si="508"/>
        <v>31.2550338</v>
      </c>
      <c r="F520" s="201">
        <f t="shared" si="509"/>
        <v>0</v>
      </c>
      <c r="H520" s="91" t="s">
        <v>2340</v>
      </c>
      <c r="J520" s="201">
        <f>VLOOKUP(A520,MapasEqtos!$B$1:$S$10197,15,FALSE)</f>
        <v>22.5</v>
      </c>
      <c r="K520" s="201">
        <f>VLOOKUP(A520,MapasEqtos!$B$1:$S$10197,14,FALSE)</f>
        <v>24.378</v>
      </c>
      <c r="L520" s="201"/>
    </row>
    <row r="521" spans="1:12" x14ac:dyDescent="0.2">
      <c r="A521" s="393" t="s">
        <v>1601</v>
      </c>
      <c r="B521" s="393" t="s">
        <v>356</v>
      </c>
      <c r="C521" s="93" t="s">
        <v>3</v>
      </c>
      <c r="D521" s="201">
        <f t="shared" si="507"/>
        <v>21.642824470744323</v>
      </c>
      <c r="E521" s="201">
        <f t="shared" si="508"/>
        <v>10.505527400000002</v>
      </c>
      <c r="F521" s="201">
        <f t="shared" si="509"/>
        <v>0</v>
      </c>
      <c r="H521" s="91" t="s">
        <v>2340</v>
      </c>
      <c r="J521" s="201">
        <f>VLOOKUP(A521,MapasEqtos!$B$1:$S$10197,15,FALSE)</f>
        <v>16.880761618239077</v>
      </c>
      <c r="K521" s="201">
        <f>VLOOKUP(A521,MapasEqtos!$B$1:$S$10197,14,FALSE)</f>
        <v>8.1940000000000008</v>
      </c>
      <c r="L521" s="201"/>
    </row>
    <row r="522" spans="1:12" x14ac:dyDescent="0.2">
      <c r="A522" s="393" t="s">
        <v>1602</v>
      </c>
      <c r="B522" s="393" t="s">
        <v>357</v>
      </c>
      <c r="C522" s="93" t="s">
        <v>3</v>
      </c>
      <c r="D522" s="201">
        <f t="shared" si="507"/>
        <v>21.677788645979778</v>
      </c>
      <c r="E522" s="201">
        <f t="shared" si="508"/>
        <v>11.2683769</v>
      </c>
      <c r="F522" s="201">
        <f t="shared" si="509"/>
        <v>0</v>
      </c>
      <c r="H522" s="91" t="s">
        <v>2340</v>
      </c>
      <c r="J522" s="201">
        <f>VLOOKUP(A522,MapasEqtos!$B$1:$S$10197,15,FALSE)</f>
        <v>16.908032638623958</v>
      </c>
      <c r="K522" s="201">
        <f>VLOOKUP(A522,MapasEqtos!$B$1:$S$10197,14,FALSE)</f>
        <v>8.7889999999999997</v>
      </c>
      <c r="L522" s="201"/>
    </row>
    <row r="523" spans="1:12" x14ac:dyDescent="0.2">
      <c r="A523" s="393" t="s">
        <v>1603</v>
      </c>
      <c r="B523" s="393" t="s">
        <v>358</v>
      </c>
      <c r="C523" s="93" t="s">
        <v>3</v>
      </c>
      <c r="D523" s="201">
        <f t="shared" si="507"/>
        <v>288.47250000000003</v>
      </c>
      <c r="E523" s="201">
        <f t="shared" si="508"/>
        <v>328.85865000000001</v>
      </c>
      <c r="F523" s="201">
        <f t="shared" si="509"/>
        <v>0</v>
      </c>
      <c r="H523" s="91" t="s">
        <v>2340</v>
      </c>
      <c r="J523" s="201">
        <f>VLOOKUP(A523,MapasEqtos!$B$1:$S$10197,15,FALSE)</f>
        <v>225</v>
      </c>
      <c r="K523" s="201">
        <f>VLOOKUP(A523,MapasEqtos!$B$1:$S$10197,14,FALSE)</f>
        <v>256.5</v>
      </c>
      <c r="L523" s="201"/>
    </row>
    <row r="524" spans="1:12" x14ac:dyDescent="0.2">
      <c r="A524" s="393" t="s">
        <v>1604</v>
      </c>
      <c r="B524" s="393" t="s">
        <v>346</v>
      </c>
      <c r="C524" s="93" t="s">
        <v>2</v>
      </c>
      <c r="D524" s="201">
        <f t="shared" ref="D524:D530" si="510">J524*$J$4</f>
        <v>96.157499999999999</v>
      </c>
      <c r="E524" s="201">
        <f t="shared" ref="E524:E530" si="511">K524*$J$4</f>
        <v>538.28968500000008</v>
      </c>
      <c r="F524" s="201">
        <f t="shared" ref="F524:F530" si="512">L524*$J$4</f>
        <v>0</v>
      </c>
      <c r="H524" s="91" t="s">
        <v>2340</v>
      </c>
      <c r="J524" s="201">
        <f>VLOOKUP(A524,MapasEqtos!$B$1:$S$10197,15,FALSE)</f>
        <v>75</v>
      </c>
      <c r="K524" s="201">
        <f>VLOOKUP(A524,MapasEqtos!$B$1:$S$10197,14,FALSE)</f>
        <v>419.85</v>
      </c>
      <c r="L524" s="201"/>
    </row>
    <row r="525" spans="1:12" x14ac:dyDescent="0.2">
      <c r="A525" s="393" t="s">
        <v>1605</v>
      </c>
      <c r="B525" s="393" t="s">
        <v>347</v>
      </c>
      <c r="C525" s="93" t="s">
        <v>2</v>
      </c>
      <c r="D525" s="201">
        <f t="shared" si="510"/>
        <v>96.157499999999999</v>
      </c>
      <c r="E525" s="201">
        <f t="shared" si="511"/>
        <v>632.07529999999997</v>
      </c>
      <c r="F525" s="201">
        <f t="shared" si="512"/>
        <v>0</v>
      </c>
      <c r="H525" s="91" t="s">
        <v>2340</v>
      </c>
      <c r="J525" s="201">
        <f>VLOOKUP(A525,MapasEqtos!$B$1:$S$10197,15,FALSE)</f>
        <v>75</v>
      </c>
      <c r="K525" s="201">
        <f>VLOOKUP(A525,MapasEqtos!$B$1:$S$10197,14,FALSE)</f>
        <v>493</v>
      </c>
      <c r="L525" s="201"/>
    </row>
    <row r="526" spans="1:12" x14ac:dyDescent="0.2">
      <c r="A526" s="393" t="s">
        <v>1606</v>
      </c>
      <c r="B526" s="393" t="s">
        <v>348</v>
      </c>
      <c r="C526" s="93" t="s">
        <v>2</v>
      </c>
      <c r="D526" s="201">
        <f t="shared" si="510"/>
        <v>96.157499999999999</v>
      </c>
      <c r="E526" s="201">
        <f t="shared" si="511"/>
        <v>697.4624</v>
      </c>
      <c r="F526" s="201">
        <f t="shared" si="512"/>
        <v>0</v>
      </c>
      <c r="H526" s="91" t="s">
        <v>2340</v>
      </c>
      <c r="J526" s="201">
        <f>VLOOKUP(A526,MapasEqtos!$B$1:$S$10197,15,FALSE)</f>
        <v>75</v>
      </c>
      <c r="K526" s="201">
        <f>VLOOKUP(A526,MapasEqtos!$B$1:$S$10197,14,FALSE)</f>
        <v>544</v>
      </c>
      <c r="L526" s="201"/>
    </row>
    <row r="527" spans="1:12" x14ac:dyDescent="0.2">
      <c r="A527" s="393" t="s">
        <v>1607</v>
      </c>
      <c r="B527" s="393" t="s">
        <v>349</v>
      </c>
      <c r="C527" s="93" t="s">
        <v>2</v>
      </c>
      <c r="D527" s="201">
        <f t="shared" si="510"/>
        <v>96.157499999999999</v>
      </c>
      <c r="E527" s="201">
        <f t="shared" si="511"/>
        <v>122.31234000000001</v>
      </c>
      <c r="F527" s="201">
        <f t="shared" si="512"/>
        <v>0</v>
      </c>
      <c r="H527" s="91" t="s">
        <v>2340</v>
      </c>
      <c r="J527" s="201">
        <f>VLOOKUP(A527,MapasEqtos!$B$1:$S$10197,15,FALSE)</f>
        <v>75</v>
      </c>
      <c r="K527" s="201">
        <f>VLOOKUP(A527,MapasEqtos!$B$1:$S$10197,14,FALSE)</f>
        <v>95.4</v>
      </c>
      <c r="L527" s="201"/>
    </row>
    <row r="528" spans="1:12" x14ac:dyDescent="0.2">
      <c r="A528" s="393" t="s">
        <v>1608</v>
      </c>
      <c r="B528" s="393" t="s">
        <v>360</v>
      </c>
      <c r="C528" s="93" t="s">
        <v>3</v>
      </c>
      <c r="D528" s="201">
        <f t="shared" si="510"/>
        <v>68.439501779359432</v>
      </c>
      <c r="E528" s="201">
        <f t="shared" si="511"/>
        <v>488.22368</v>
      </c>
      <c r="F528" s="201">
        <f t="shared" si="512"/>
        <v>0</v>
      </c>
      <c r="H528" s="91" t="s">
        <v>2340</v>
      </c>
      <c r="J528" s="201">
        <f>VLOOKUP(A528,MapasEqtos!$B$1:$S$10197,15,FALSE)</f>
        <v>53.380782918149464</v>
      </c>
      <c r="K528" s="201">
        <f>VLOOKUP(A528,MapasEqtos!$B$1:$S$10197,14,FALSE)</f>
        <v>380.8</v>
      </c>
      <c r="L528" s="201"/>
    </row>
    <row r="529" spans="1:12" x14ac:dyDescent="0.2">
      <c r="A529" s="393" t="s">
        <v>1609</v>
      </c>
      <c r="B529" s="393" t="s">
        <v>361</v>
      </c>
      <c r="C529" s="93" t="s">
        <v>3</v>
      </c>
      <c r="D529" s="201">
        <f t="shared" si="510"/>
        <v>68.439501779359432</v>
      </c>
      <c r="E529" s="201">
        <f t="shared" si="511"/>
        <v>488.22368</v>
      </c>
      <c r="F529" s="201">
        <f t="shared" si="512"/>
        <v>0</v>
      </c>
      <c r="H529" s="91" t="s">
        <v>2340</v>
      </c>
      <c r="J529" s="201">
        <f>VLOOKUP(A529,MapasEqtos!$B$1:$S$10197,15,FALSE)</f>
        <v>53.380782918149464</v>
      </c>
      <c r="K529" s="201">
        <f>VLOOKUP(A529,MapasEqtos!$B$1:$S$10197,14,FALSE)</f>
        <v>380.8</v>
      </c>
      <c r="L529" s="201"/>
    </row>
    <row r="530" spans="1:12" x14ac:dyDescent="0.2">
      <c r="A530" s="393" t="s">
        <v>1610</v>
      </c>
      <c r="B530" s="393" t="s">
        <v>362</v>
      </c>
      <c r="C530" s="93" t="s">
        <v>3</v>
      </c>
      <c r="D530" s="201">
        <f t="shared" si="510"/>
        <v>68.439501779359432</v>
      </c>
      <c r="E530" s="201">
        <f t="shared" si="511"/>
        <v>87.1828</v>
      </c>
      <c r="F530" s="201">
        <f t="shared" si="512"/>
        <v>0</v>
      </c>
      <c r="H530" s="91" t="s">
        <v>2340</v>
      </c>
      <c r="J530" s="201">
        <f>VLOOKUP(A530,MapasEqtos!$B$1:$S$10197,15,FALSE)</f>
        <v>53.380782918149464</v>
      </c>
      <c r="K530" s="201">
        <f>VLOOKUP(A530,MapasEqtos!$B$1:$S$10197,14,FALSE)</f>
        <v>68</v>
      </c>
      <c r="L530" s="201"/>
    </row>
    <row r="531" spans="1:12" x14ac:dyDescent="0.2">
      <c r="A531" s="393" t="s">
        <v>1689</v>
      </c>
      <c r="B531" s="393" t="s">
        <v>363</v>
      </c>
      <c r="C531" s="93" t="s">
        <v>3</v>
      </c>
      <c r="D531" s="201">
        <f t="shared" ref="D531:D594" si="513">J531*$J$4</f>
        <v>68.439501779359432</v>
      </c>
      <c r="E531" s="201">
        <f t="shared" ref="E531:E594" si="514">K531*$J$4</f>
        <v>370.52690000000001</v>
      </c>
      <c r="F531" s="201">
        <f t="shared" ref="F531:F594" si="515">L531*$J$4</f>
        <v>0</v>
      </c>
      <c r="H531" s="91" t="s">
        <v>2340</v>
      </c>
      <c r="J531" s="201">
        <f>VLOOKUP(A531,MapasEqtos!$B$1:$S$10197,15,FALSE)</f>
        <v>53.380782918149464</v>
      </c>
      <c r="K531" s="201">
        <f>VLOOKUP(A531,MapasEqtos!$B$1:$S$10197,14,FALSE)</f>
        <v>289</v>
      </c>
      <c r="L531" s="201"/>
    </row>
    <row r="532" spans="1:12" x14ac:dyDescent="0.2">
      <c r="A532" s="393" t="s">
        <v>1690</v>
      </c>
      <c r="B532" s="393" t="s">
        <v>364</v>
      </c>
      <c r="C532" s="93" t="s">
        <v>3</v>
      </c>
      <c r="D532" s="201">
        <f t="shared" si="513"/>
        <v>68.439501779359432</v>
      </c>
      <c r="E532" s="201">
        <f t="shared" si="514"/>
        <v>108.9785</v>
      </c>
      <c r="F532" s="201">
        <f t="shared" si="515"/>
        <v>0</v>
      </c>
      <c r="H532" s="91" t="s">
        <v>2340</v>
      </c>
      <c r="J532" s="201">
        <f>VLOOKUP(A532,MapasEqtos!$B$1:$S$10197,15,FALSE)</f>
        <v>53.380782918149464</v>
      </c>
      <c r="K532" s="201">
        <f>VLOOKUP(A532,MapasEqtos!$B$1:$S$10197,14,FALSE)</f>
        <v>85</v>
      </c>
      <c r="L532" s="201"/>
    </row>
    <row r="533" spans="1:12" x14ac:dyDescent="0.2">
      <c r="A533" s="393" t="s">
        <v>1691</v>
      </c>
      <c r="B533" s="393" t="s">
        <v>365</v>
      </c>
      <c r="C533" s="93" t="s">
        <v>3</v>
      </c>
      <c r="D533" s="201">
        <f t="shared" si="513"/>
        <v>68.439501779359432</v>
      </c>
      <c r="E533" s="201">
        <f t="shared" si="514"/>
        <v>141.67205000000001</v>
      </c>
      <c r="F533" s="201">
        <f t="shared" si="515"/>
        <v>0</v>
      </c>
      <c r="H533" s="91" t="s">
        <v>2340</v>
      </c>
      <c r="J533" s="201">
        <f>VLOOKUP(A533,MapasEqtos!$B$1:$S$10197,15,FALSE)</f>
        <v>53.380782918149464</v>
      </c>
      <c r="K533" s="201">
        <f>VLOOKUP(A533,MapasEqtos!$B$1:$S$10197,14,FALSE)</f>
        <v>110.5</v>
      </c>
      <c r="L533" s="201"/>
    </row>
    <row r="534" spans="1:12" x14ac:dyDescent="0.2">
      <c r="A534" s="393" t="s">
        <v>1692</v>
      </c>
      <c r="B534" s="393" t="s">
        <v>366</v>
      </c>
      <c r="C534" s="93" t="s">
        <v>3</v>
      </c>
      <c r="D534" s="201">
        <f t="shared" si="513"/>
        <v>68.439501779359432</v>
      </c>
      <c r="E534" s="201">
        <f t="shared" si="514"/>
        <v>741.05380000000002</v>
      </c>
      <c r="F534" s="201">
        <f t="shared" si="515"/>
        <v>0</v>
      </c>
      <c r="H534" s="91" t="s">
        <v>2340</v>
      </c>
      <c r="J534" s="201">
        <f>VLOOKUP(A534,MapasEqtos!$B$1:$S$10197,15,FALSE)</f>
        <v>53.380782918149464</v>
      </c>
      <c r="K534" s="201">
        <f>VLOOKUP(A534,MapasEqtos!$B$1:$S$10197,14,FALSE)</f>
        <v>578</v>
      </c>
      <c r="L534" s="201"/>
    </row>
    <row r="535" spans="1:12" x14ac:dyDescent="0.2">
      <c r="A535" s="393" t="s">
        <v>1693</v>
      </c>
      <c r="B535" s="393" t="s">
        <v>367</v>
      </c>
      <c r="C535" s="93" t="s">
        <v>3</v>
      </c>
      <c r="D535" s="201">
        <f t="shared" si="513"/>
        <v>68.439501779359432</v>
      </c>
      <c r="E535" s="201">
        <f t="shared" si="514"/>
        <v>871.82799999999997</v>
      </c>
      <c r="F535" s="201">
        <f t="shared" si="515"/>
        <v>0</v>
      </c>
      <c r="H535" s="91" t="s">
        <v>2340</v>
      </c>
      <c r="J535" s="201">
        <f>VLOOKUP(A535,MapasEqtos!$B$1:$S$10197,15,FALSE)</f>
        <v>53.380782918149464</v>
      </c>
      <c r="K535" s="201">
        <f>VLOOKUP(A535,MapasEqtos!$B$1:$S$10197,14,FALSE)</f>
        <v>680</v>
      </c>
      <c r="L535" s="201"/>
    </row>
    <row r="536" spans="1:12" x14ac:dyDescent="0.2">
      <c r="A536" s="393" t="s">
        <v>1694</v>
      </c>
      <c r="B536" s="393" t="s">
        <v>368</v>
      </c>
      <c r="C536" s="93" t="s">
        <v>3</v>
      </c>
      <c r="D536" s="201">
        <f t="shared" si="513"/>
        <v>68.439501779359432</v>
      </c>
      <c r="E536" s="201">
        <f t="shared" si="514"/>
        <v>261.54840000000002</v>
      </c>
      <c r="F536" s="201">
        <f t="shared" si="515"/>
        <v>0</v>
      </c>
      <c r="H536" s="91" t="s">
        <v>2340</v>
      </c>
      <c r="J536" s="201">
        <f>VLOOKUP(A536,MapasEqtos!$B$1:$S$10197,15,FALSE)</f>
        <v>53.380782918149464</v>
      </c>
      <c r="K536" s="201">
        <f>VLOOKUP(A536,MapasEqtos!$B$1:$S$10197,14,FALSE)</f>
        <v>204</v>
      </c>
      <c r="L536" s="201"/>
    </row>
    <row r="537" spans="1:12" x14ac:dyDescent="0.2">
      <c r="A537" s="393" t="s">
        <v>1695</v>
      </c>
      <c r="B537" s="393" t="s">
        <v>369</v>
      </c>
      <c r="C537" s="93" t="s">
        <v>3</v>
      </c>
      <c r="D537" s="201">
        <f t="shared" si="513"/>
        <v>68.439501779359432</v>
      </c>
      <c r="E537" s="201">
        <f t="shared" si="514"/>
        <v>326.93549999999999</v>
      </c>
      <c r="F537" s="201">
        <f t="shared" si="515"/>
        <v>0</v>
      </c>
      <c r="H537" s="91" t="s">
        <v>2340</v>
      </c>
      <c r="J537" s="201">
        <f>VLOOKUP(A537,MapasEqtos!$B$1:$S$10197,15,FALSE)</f>
        <v>53.380782918149464</v>
      </c>
      <c r="K537" s="201">
        <f>VLOOKUP(A537,MapasEqtos!$B$1:$S$10197,14,FALSE)</f>
        <v>255</v>
      </c>
      <c r="L537" s="201"/>
    </row>
    <row r="538" spans="1:12" x14ac:dyDescent="0.2">
      <c r="A538" s="393" t="s">
        <v>1696</v>
      </c>
      <c r="B538" s="393" t="s">
        <v>370</v>
      </c>
      <c r="C538" s="93" t="s">
        <v>3</v>
      </c>
      <c r="D538" s="201">
        <f t="shared" si="513"/>
        <v>68.439501779359432</v>
      </c>
      <c r="E538" s="201">
        <f t="shared" si="514"/>
        <v>414.11830000000003</v>
      </c>
      <c r="F538" s="201">
        <f t="shared" si="515"/>
        <v>0</v>
      </c>
      <c r="H538" s="91" t="s">
        <v>2340</v>
      </c>
      <c r="J538" s="201">
        <f>VLOOKUP(A538,MapasEqtos!$B$1:$S$10197,15,FALSE)</f>
        <v>53.380782918149464</v>
      </c>
      <c r="K538" s="201">
        <f>VLOOKUP(A538,MapasEqtos!$B$1:$S$10197,14,FALSE)</f>
        <v>323</v>
      </c>
      <c r="L538" s="201"/>
    </row>
    <row r="539" spans="1:12" x14ac:dyDescent="0.2">
      <c r="A539" s="393" t="s">
        <v>1697</v>
      </c>
      <c r="B539" s="393" t="s">
        <v>371</v>
      </c>
      <c r="C539" s="93" t="s">
        <v>3</v>
      </c>
      <c r="D539" s="201">
        <f t="shared" si="513"/>
        <v>68.439501779359432</v>
      </c>
      <c r="E539" s="201">
        <f t="shared" si="514"/>
        <v>762.84950000000003</v>
      </c>
      <c r="F539" s="201">
        <f t="shared" si="515"/>
        <v>0</v>
      </c>
      <c r="H539" s="91" t="s">
        <v>2340</v>
      </c>
      <c r="J539" s="201">
        <f>VLOOKUP(A539,MapasEqtos!$B$1:$S$10197,15,FALSE)</f>
        <v>53.380782918149464</v>
      </c>
      <c r="K539" s="201">
        <f>VLOOKUP(A539,MapasEqtos!$B$1:$S$10197,14,FALSE)</f>
        <v>595</v>
      </c>
      <c r="L539" s="201"/>
    </row>
    <row r="540" spans="1:12" x14ac:dyDescent="0.2">
      <c r="A540" s="393" t="s">
        <v>1698</v>
      </c>
      <c r="B540" s="393" t="s">
        <v>372</v>
      </c>
      <c r="C540" s="93" t="s">
        <v>3</v>
      </c>
      <c r="D540" s="201">
        <f t="shared" si="513"/>
        <v>68.439501779359432</v>
      </c>
      <c r="E540" s="201">
        <f t="shared" si="514"/>
        <v>217.95699999999999</v>
      </c>
      <c r="F540" s="201">
        <f t="shared" si="515"/>
        <v>0</v>
      </c>
      <c r="H540" s="91" t="s">
        <v>2340</v>
      </c>
      <c r="J540" s="201">
        <f>VLOOKUP(A540,MapasEqtos!$B$1:$S$10197,15,FALSE)</f>
        <v>53.380782918149464</v>
      </c>
      <c r="K540" s="201">
        <f>VLOOKUP(A540,MapasEqtos!$B$1:$S$10197,14,FALSE)</f>
        <v>170</v>
      </c>
      <c r="L540" s="201"/>
    </row>
    <row r="541" spans="1:12" x14ac:dyDescent="0.2">
      <c r="A541" s="393" t="s">
        <v>1699</v>
      </c>
      <c r="B541" s="393" t="s">
        <v>373</v>
      </c>
      <c r="C541" s="93" t="s">
        <v>3</v>
      </c>
      <c r="D541" s="201">
        <f t="shared" si="513"/>
        <v>68.439501779359432</v>
      </c>
      <c r="E541" s="201">
        <f t="shared" si="514"/>
        <v>653.87099999999998</v>
      </c>
      <c r="F541" s="201">
        <f t="shared" si="515"/>
        <v>0</v>
      </c>
      <c r="H541" s="91" t="s">
        <v>2340</v>
      </c>
      <c r="J541" s="201">
        <f>VLOOKUP(A541,MapasEqtos!$B$1:$S$10197,15,FALSE)</f>
        <v>53.380782918149464</v>
      </c>
      <c r="K541" s="201">
        <f>VLOOKUP(A541,MapasEqtos!$B$1:$S$10197,14,FALSE)</f>
        <v>510</v>
      </c>
      <c r="L541" s="201"/>
    </row>
    <row r="542" spans="1:12" x14ac:dyDescent="0.2">
      <c r="A542" s="393" t="s">
        <v>1700</v>
      </c>
      <c r="B542" s="393" t="s">
        <v>1782</v>
      </c>
      <c r="C542" s="93" t="s">
        <v>3</v>
      </c>
      <c r="D542" s="201">
        <f t="shared" si="513"/>
        <v>68.439501779359432</v>
      </c>
      <c r="E542" s="201">
        <f t="shared" si="514"/>
        <v>1046.1936000000001</v>
      </c>
      <c r="F542" s="201">
        <f t="shared" si="515"/>
        <v>0</v>
      </c>
      <c r="H542" s="91" t="s">
        <v>2340</v>
      </c>
      <c r="J542" s="201">
        <f>VLOOKUP(A542,MapasEqtos!$B$1:$S$10197,15,FALSE)</f>
        <v>53.380782918149464</v>
      </c>
      <c r="K542" s="201">
        <f>VLOOKUP(A542,MapasEqtos!$B$1:$S$10197,14,FALSE)</f>
        <v>816</v>
      </c>
      <c r="L542" s="201"/>
    </row>
    <row r="543" spans="1:12" x14ac:dyDescent="0.2">
      <c r="A543" s="393" t="s">
        <v>1701</v>
      </c>
      <c r="B543" s="393" t="s">
        <v>1783</v>
      </c>
      <c r="C543" s="93" t="s">
        <v>3</v>
      </c>
      <c r="D543" s="201">
        <f t="shared" si="513"/>
        <v>68.439501779359432</v>
      </c>
      <c r="E543" s="201">
        <f t="shared" si="514"/>
        <v>1089.7850000000001</v>
      </c>
      <c r="F543" s="201">
        <f t="shared" si="515"/>
        <v>0</v>
      </c>
      <c r="H543" s="91" t="s">
        <v>2340</v>
      </c>
      <c r="J543" s="201">
        <f>VLOOKUP(A543,MapasEqtos!$B$1:$S$10197,15,FALSE)</f>
        <v>53.380782918149464</v>
      </c>
      <c r="K543" s="201">
        <f>VLOOKUP(A543,MapasEqtos!$B$1:$S$10197,14,FALSE)</f>
        <v>850</v>
      </c>
      <c r="L543" s="201"/>
    </row>
    <row r="544" spans="1:12" x14ac:dyDescent="0.2">
      <c r="A544" s="393" t="s">
        <v>1702</v>
      </c>
      <c r="B544" s="393" t="s">
        <v>374</v>
      </c>
      <c r="C544" s="93" t="s">
        <v>3</v>
      </c>
      <c r="D544" s="201">
        <f t="shared" si="513"/>
        <v>68.439501779359432</v>
      </c>
      <c r="E544" s="201">
        <f t="shared" si="514"/>
        <v>435.91399999999999</v>
      </c>
      <c r="F544" s="201">
        <f t="shared" si="515"/>
        <v>0</v>
      </c>
      <c r="H544" s="91" t="s">
        <v>2340</v>
      </c>
      <c r="J544" s="201">
        <f>VLOOKUP(A544,MapasEqtos!$B$1:$S$10197,15,FALSE)</f>
        <v>53.380782918149464</v>
      </c>
      <c r="K544" s="201">
        <f>VLOOKUP(A544,MapasEqtos!$B$1:$S$10197,14,FALSE)</f>
        <v>340</v>
      </c>
      <c r="L544" s="201"/>
    </row>
    <row r="545" spans="1:12" x14ac:dyDescent="0.2">
      <c r="A545" s="393" t="s">
        <v>1703</v>
      </c>
      <c r="B545" s="393" t="s">
        <v>375</v>
      </c>
      <c r="C545" s="93" t="s">
        <v>3</v>
      </c>
      <c r="D545" s="201">
        <f t="shared" si="513"/>
        <v>68.439501779359432</v>
      </c>
      <c r="E545" s="201">
        <f t="shared" si="514"/>
        <v>871.82799999999997</v>
      </c>
      <c r="F545" s="201">
        <f t="shared" si="515"/>
        <v>0</v>
      </c>
      <c r="H545" s="91" t="s">
        <v>2340</v>
      </c>
      <c r="J545" s="201">
        <f>VLOOKUP(A545,MapasEqtos!$B$1:$S$10197,15,FALSE)</f>
        <v>53.380782918149464</v>
      </c>
      <c r="K545" s="201">
        <f>VLOOKUP(A545,MapasEqtos!$B$1:$S$10197,14,FALSE)</f>
        <v>680</v>
      </c>
      <c r="L545" s="201"/>
    </row>
    <row r="546" spans="1:12" x14ac:dyDescent="0.2">
      <c r="A546" s="393" t="s">
        <v>1704</v>
      </c>
      <c r="B546" s="393" t="s">
        <v>376</v>
      </c>
      <c r="C546" s="93" t="s">
        <v>3</v>
      </c>
      <c r="D546" s="201">
        <f t="shared" si="513"/>
        <v>68.439501779359432</v>
      </c>
      <c r="E546" s="201">
        <f t="shared" si="514"/>
        <v>948.11295000000007</v>
      </c>
      <c r="F546" s="201">
        <f t="shared" si="515"/>
        <v>0</v>
      </c>
      <c r="H546" s="91" t="s">
        <v>2340</v>
      </c>
      <c r="J546" s="201">
        <f>VLOOKUP(A546,MapasEqtos!$B$1:$S$10197,15,FALSE)</f>
        <v>53.380782918149464</v>
      </c>
      <c r="K546" s="201">
        <f>VLOOKUP(A546,MapasEqtos!$B$1:$S$10197,14,FALSE)</f>
        <v>739.5</v>
      </c>
      <c r="L546" s="201"/>
    </row>
    <row r="547" spans="1:12" x14ac:dyDescent="0.2">
      <c r="A547" s="393" t="s">
        <v>1705</v>
      </c>
      <c r="B547" s="393" t="s">
        <v>377</v>
      </c>
      <c r="C547" s="93" t="s">
        <v>3</v>
      </c>
      <c r="D547" s="201">
        <f t="shared" si="513"/>
        <v>68.439501779359432</v>
      </c>
      <c r="E547" s="201">
        <f t="shared" si="514"/>
        <v>163.46775</v>
      </c>
      <c r="F547" s="201">
        <f t="shared" si="515"/>
        <v>0</v>
      </c>
      <c r="H547" s="91" t="s">
        <v>2340</v>
      </c>
      <c r="J547" s="201">
        <f>VLOOKUP(A547,MapasEqtos!$B$1:$S$10197,15,FALSE)</f>
        <v>53.380782918149464</v>
      </c>
      <c r="K547" s="201">
        <f>VLOOKUP(A547,MapasEqtos!$B$1:$S$10197,14,FALSE)</f>
        <v>127.5</v>
      </c>
      <c r="L547" s="201"/>
    </row>
    <row r="548" spans="1:12" x14ac:dyDescent="0.2">
      <c r="A548" s="393" t="s">
        <v>1706</v>
      </c>
      <c r="B548" s="393" t="s">
        <v>378</v>
      </c>
      <c r="C548" s="93" t="s">
        <v>3</v>
      </c>
      <c r="D548" s="201">
        <f t="shared" si="513"/>
        <v>68.439501779359432</v>
      </c>
      <c r="E548" s="201">
        <f t="shared" si="514"/>
        <v>163.46775</v>
      </c>
      <c r="F548" s="201">
        <f t="shared" si="515"/>
        <v>0</v>
      </c>
      <c r="H548" s="91" t="s">
        <v>2340</v>
      </c>
      <c r="J548" s="201">
        <f>VLOOKUP(A548,MapasEqtos!$B$1:$S$10197,15,FALSE)</f>
        <v>53.380782918149464</v>
      </c>
      <c r="K548" s="201">
        <f>VLOOKUP(A548,MapasEqtos!$B$1:$S$10197,14,FALSE)</f>
        <v>127.5</v>
      </c>
      <c r="L548" s="201"/>
    </row>
    <row r="549" spans="1:12" x14ac:dyDescent="0.2">
      <c r="A549" s="393" t="s">
        <v>1707</v>
      </c>
      <c r="B549" s="393" t="s">
        <v>379</v>
      </c>
      <c r="C549" s="93" t="s">
        <v>3</v>
      </c>
      <c r="D549" s="201">
        <f t="shared" si="513"/>
        <v>68.439501779359432</v>
      </c>
      <c r="E549" s="201">
        <f t="shared" si="514"/>
        <v>163.46775</v>
      </c>
      <c r="F549" s="201">
        <f t="shared" si="515"/>
        <v>0</v>
      </c>
      <c r="H549" s="91" t="s">
        <v>2340</v>
      </c>
      <c r="J549" s="201">
        <f>VLOOKUP(A549,MapasEqtos!$B$1:$S$10197,15,FALSE)</f>
        <v>53.380782918149464</v>
      </c>
      <c r="K549" s="201">
        <f>VLOOKUP(A549,MapasEqtos!$B$1:$S$10197,14,FALSE)</f>
        <v>127.5</v>
      </c>
      <c r="L549" s="201"/>
    </row>
    <row r="550" spans="1:12" x14ac:dyDescent="0.2">
      <c r="A550" s="393" t="s">
        <v>1708</v>
      </c>
      <c r="B550" s="393" t="s">
        <v>380</v>
      </c>
      <c r="C550" s="93" t="s">
        <v>3</v>
      </c>
      <c r="D550" s="201">
        <f t="shared" si="513"/>
        <v>68.439501779359432</v>
      </c>
      <c r="E550" s="201">
        <f t="shared" si="514"/>
        <v>163.46775</v>
      </c>
      <c r="F550" s="201">
        <f t="shared" si="515"/>
        <v>0</v>
      </c>
      <c r="H550" s="91" t="s">
        <v>2340</v>
      </c>
      <c r="J550" s="201">
        <f>VLOOKUP(A550,MapasEqtos!$B$1:$S$10197,15,FALSE)</f>
        <v>53.380782918149464</v>
      </c>
      <c r="K550" s="201">
        <f>VLOOKUP(A550,MapasEqtos!$B$1:$S$10197,14,FALSE)</f>
        <v>127.5</v>
      </c>
      <c r="L550" s="201"/>
    </row>
    <row r="551" spans="1:12" x14ac:dyDescent="0.2">
      <c r="A551" s="393" t="s">
        <v>1709</v>
      </c>
      <c r="B551" s="393" t="s">
        <v>382</v>
      </c>
      <c r="C551" s="93" t="s">
        <v>2</v>
      </c>
      <c r="D551" s="201">
        <f t="shared" si="513"/>
        <v>43.670254869078612</v>
      </c>
      <c r="E551" s="201">
        <f t="shared" si="514"/>
        <v>43.23625830000001</v>
      </c>
      <c r="F551" s="201">
        <f t="shared" si="515"/>
        <v>0</v>
      </c>
      <c r="H551" s="91" t="s">
        <v>2340</v>
      </c>
      <c r="J551" s="201">
        <f>VLOOKUP(A551,MapasEqtos!$B$1:$S$10197,15,FALSE)</f>
        <v>34.061504460711809</v>
      </c>
      <c r="K551" s="201">
        <f>VLOOKUP(A551,MapasEqtos!$B$1:$S$10197,14,FALSE)</f>
        <v>33.723000000000006</v>
      </c>
      <c r="L551" s="201"/>
    </row>
    <row r="552" spans="1:12" x14ac:dyDescent="0.2">
      <c r="A552" s="393" t="s">
        <v>1710</v>
      </c>
      <c r="B552" s="393" t="s">
        <v>383</v>
      </c>
      <c r="C552" s="93" t="s">
        <v>2</v>
      </c>
      <c r="D552" s="201">
        <f t="shared" si="513"/>
        <v>62.883069160959067</v>
      </c>
      <c r="E552" s="201">
        <f t="shared" si="514"/>
        <v>62.258134949999999</v>
      </c>
      <c r="F552" s="201">
        <f t="shared" si="515"/>
        <v>0</v>
      </c>
      <c r="H552" s="91" t="s">
        <v>2340</v>
      </c>
      <c r="J552" s="201">
        <f>VLOOKUP(A552,MapasEqtos!$B$1:$S$10197,15,FALSE)</f>
        <v>49.04693016220191</v>
      </c>
      <c r="K552" s="201">
        <f>VLOOKUP(A552,MapasEqtos!$B$1:$S$10197,14,FALSE)</f>
        <v>48.5595</v>
      </c>
      <c r="L552" s="201"/>
    </row>
    <row r="553" spans="1:12" x14ac:dyDescent="0.2">
      <c r="A553" s="393" t="s">
        <v>1711</v>
      </c>
      <c r="B553" s="393" t="s">
        <v>384</v>
      </c>
      <c r="C553" s="93" t="s">
        <v>3</v>
      </c>
      <c r="D553" s="201">
        <f t="shared" si="513"/>
        <v>16.27582357210256</v>
      </c>
      <c r="E553" s="201">
        <f t="shared" si="514"/>
        <v>16.114073850000004</v>
      </c>
      <c r="F553" s="201">
        <f t="shared" si="515"/>
        <v>0</v>
      </c>
      <c r="H553" s="91" t="s">
        <v>2340</v>
      </c>
      <c r="J553" s="201">
        <f>VLOOKUP(A553,MapasEqtos!$B$1:$S$10197,15,FALSE)</f>
        <v>12.694659989160408</v>
      </c>
      <c r="K553" s="201">
        <f>VLOOKUP(A553,MapasEqtos!$B$1:$S$10197,14,FALSE)</f>
        <v>12.568500000000002</v>
      </c>
      <c r="L553" s="201"/>
    </row>
    <row r="554" spans="1:12" x14ac:dyDescent="0.2">
      <c r="A554" s="393" t="s">
        <v>1712</v>
      </c>
      <c r="B554" s="393" t="s">
        <v>385</v>
      </c>
      <c r="C554" s="93" t="s">
        <v>3</v>
      </c>
      <c r="D554" s="201">
        <f t="shared" si="513"/>
        <v>34.91172897259807</v>
      </c>
      <c r="E554" s="201">
        <f t="shared" si="514"/>
        <v>34.56477495</v>
      </c>
      <c r="F554" s="201">
        <f t="shared" si="515"/>
        <v>0</v>
      </c>
      <c r="H554" s="91" t="s">
        <v>2340</v>
      </c>
      <c r="J554" s="201">
        <f>VLOOKUP(A554,MapasEqtos!$B$1:$S$10197,15,FALSE)</f>
        <v>27.230113854300029</v>
      </c>
      <c r="K554" s="201">
        <f>VLOOKUP(A554,MapasEqtos!$B$1:$S$10197,14,FALSE)</f>
        <v>26.959499999999998</v>
      </c>
      <c r="L554" s="201"/>
    </row>
    <row r="555" spans="1:12" x14ac:dyDescent="0.2">
      <c r="A555" s="393" t="s">
        <v>1713</v>
      </c>
      <c r="B555" s="393" t="s">
        <v>386</v>
      </c>
      <c r="C555" s="93" t="s">
        <v>3</v>
      </c>
      <c r="D555" s="201">
        <f t="shared" si="513"/>
        <v>233.03622794428261</v>
      </c>
      <c r="E555" s="201">
        <f t="shared" si="514"/>
        <v>113.33763999999999</v>
      </c>
      <c r="F555" s="201">
        <f t="shared" si="515"/>
        <v>0</v>
      </c>
      <c r="H555" s="91" t="s">
        <v>2340</v>
      </c>
      <c r="J555" s="201">
        <f>VLOOKUP(A555,MapasEqtos!$B$1:$S$10197,15,FALSE)</f>
        <v>181.76135086520756</v>
      </c>
      <c r="K555" s="201">
        <f>VLOOKUP(A555,MapasEqtos!$B$1:$S$10197,14,FALSE)</f>
        <v>88.399999999999991</v>
      </c>
      <c r="L555" s="201"/>
    </row>
    <row r="556" spans="1:12" x14ac:dyDescent="0.2">
      <c r="A556" s="393" t="s">
        <v>1714</v>
      </c>
      <c r="B556" s="393" t="s">
        <v>387</v>
      </c>
      <c r="C556" s="93" t="s">
        <v>3</v>
      </c>
      <c r="D556" s="201">
        <f t="shared" si="513"/>
        <v>48.949845329631749</v>
      </c>
      <c r="E556" s="201">
        <f t="shared" si="514"/>
        <v>48.463380000000008</v>
      </c>
      <c r="F556" s="201">
        <f t="shared" si="515"/>
        <v>0</v>
      </c>
      <c r="H556" s="91" t="s">
        <v>2340</v>
      </c>
      <c r="J556" s="201">
        <f>VLOOKUP(A556,MapasEqtos!$B$1:$S$10197,15,FALSE)</f>
        <v>38.17942853882829</v>
      </c>
      <c r="K556" s="201">
        <f>VLOOKUP(A556,MapasEqtos!$B$1:$S$10197,14,FALSE)</f>
        <v>37.800000000000004</v>
      </c>
      <c r="L556" s="201"/>
    </row>
    <row r="557" spans="1:12" x14ac:dyDescent="0.2">
      <c r="A557" s="393" t="s">
        <v>1715</v>
      </c>
      <c r="B557" s="393" t="s">
        <v>1761</v>
      </c>
      <c r="C557" s="93" t="s">
        <v>3</v>
      </c>
      <c r="D557" s="201">
        <f t="shared" si="513"/>
        <v>57.694499999999998</v>
      </c>
      <c r="E557" s="201">
        <f t="shared" si="514"/>
        <v>207.7002</v>
      </c>
      <c r="F557" s="201">
        <f t="shared" si="515"/>
        <v>0</v>
      </c>
      <c r="H557" s="91" t="s">
        <v>2340</v>
      </c>
      <c r="J557" s="201">
        <f>VLOOKUP(A557,MapasEqtos!$B$1:$S$10197,15,FALSE)</f>
        <v>45</v>
      </c>
      <c r="K557" s="201">
        <f>VLOOKUP(A557,MapasEqtos!$B$1:$S$10197,14,FALSE)</f>
        <v>162</v>
      </c>
      <c r="L557" s="201"/>
    </row>
    <row r="558" spans="1:12" x14ac:dyDescent="0.2">
      <c r="A558" s="393" t="s">
        <v>1716</v>
      </c>
      <c r="B558" s="393" t="s">
        <v>388</v>
      </c>
      <c r="C558" s="93" t="s">
        <v>3</v>
      </c>
      <c r="D558" s="201">
        <f t="shared" si="513"/>
        <v>24.999385293347647</v>
      </c>
      <c r="E558" s="201">
        <f t="shared" si="514"/>
        <v>11.551721000000001</v>
      </c>
      <c r="F558" s="201">
        <f t="shared" si="515"/>
        <v>0</v>
      </c>
      <c r="H558" s="91" t="s">
        <v>2340</v>
      </c>
      <c r="J558" s="201">
        <f>VLOOKUP(A558,MapasEqtos!$B$1:$S$10197,15,FALSE)</f>
        <v>19.498779575187307</v>
      </c>
      <c r="K558" s="201">
        <f>VLOOKUP(A558,MapasEqtos!$B$1:$S$10197,14,FALSE)</f>
        <v>9.01</v>
      </c>
      <c r="L558" s="201"/>
    </row>
    <row r="559" spans="1:12" x14ac:dyDescent="0.2">
      <c r="A559" s="393" t="s">
        <v>1717</v>
      </c>
      <c r="B559" s="393" t="s">
        <v>389</v>
      </c>
      <c r="C559" s="93" t="s">
        <v>26</v>
      </c>
      <c r="D559" s="201">
        <f t="shared" si="513"/>
        <v>57.694499999999998</v>
      </c>
      <c r="E559" s="201">
        <f t="shared" si="514"/>
        <v>311.55030000000005</v>
      </c>
      <c r="F559" s="201">
        <f t="shared" si="515"/>
        <v>0</v>
      </c>
      <c r="H559" s="91" t="s">
        <v>2340</v>
      </c>
      <c r="J559" s="201">
        <f>VLOOKUP(A559,MapasEqtos!$B$1:$S$10197,15,FALSE)</f>
        <v>45</v>
      </c>
      <c r="K559" s="201">
        <f>VLOOKUP(A559,MapasEqtos!$B$1:$S$10197,14,FALSE)</f>
        <v>243.00000000000003</v>
      </c>
      <c r="L559" s="201"/>
    </row>
    <row r="560" spans="1:12" x14ac:dyDescent="0.2">
      <c r="A560" s="393" t="s">
        <v>1718</v>
      </c>
      <c r="B560" s="393" t="s">
        <v>390</v>
      </c>
      <c r="C560" s="93" t="s">
        <v>3</v>
      </c>
      <c r="D560" s="201">
        <f t="shared" si="513"/>
        <v>57.694499999999998</v>
      </c>
      <c r="E560" s="201">
        <f t="shared" si="514"/>
        <v>143.14005450000002</v>
      </c>
      <c r="F560" s="201">
        <f t="shared" si="515"/>
        <v>0</v>
      </c>
      <c r="H560" s="91" t="s">
        <v>2340</v>
      </c>
      <c r="J560" s="201">
        <f>VLOOKUP(A560,MapasEqtos!$B$1:$S$10197,15,FALSE)</f>
        <v>45</v>
      </c>
      <c r="K560" s="201">
        <f>VLOOKUP(A560,MapasEqtos!$B$1:$S$10197,14,FALSE)</f>
        <v>111.64500000000001</v>
      </c>
      <c r="L560" s="201"/>
    </row>
    <row r="561" spans="1:12" x14ac:dyDescent="0.2">
      <c r="A561" s="393" t="s">
        <v>1719</v>
      </c>
      <c r="B561" s="393" t="s">
        <v>391</v>
      </c>
      <c r="C561" s="93" t="s">
        <v>2</v>
      </c>
      <c r="D561" s="201">
        <f t="shared" si="513"/>
        <v>57.694499999999998</v>
      </c>
      <c r="E561" s="201">
        <f t="shared" si="514"/>
        <v>653.87099999999998</v>
      </c>
      <c r="F561" s="201">
        <f t="shared" si="515"/>
        <v>0</v>
      </c>
      <c r="H561" s="91" t="s">
        <v>2340</v>
      </c>
      <c r="J561" s="201">
        <f>VLOOKUP(A561,MapasEqtos!$B$1:$S$10197,15,FALSE)</f>
        <v>45</v>
      </c>
      <c r="K561" s="201">
        <f>VLOOKUP(A561,MapasEqtos!$B$1:$S$10197,14,FALSE)</f>
        <v>510</v>
      </c>
      <c r="L561" s="201"/>
    </row>
    <row r="562" spans="1:12" x14ac:dyDescent="0.2">
      <c r="A562" s="393" t="s">
        <v>1720</v>
      </c>
      <c r="B562" s="393" t="s">
        <v>392</v>
      </c>
      <c r="C562" s="93" t="s">
        <v>2</v>
      </c>
      <c r="D562" s="201">
        <f t="shared" si="513"/>
        <v>45.890479996529763</v>
      </c>
      <c r="E562" s="201">
        <f t="shared" si="514"/>
        <v>45.434418749999999</v>
      </c>
      <c r="F562" s="201">
        <f t="shared" si="515"/>
        <v>0</v>
      </c>
      <c r="H562" s="91" t="s">
        <v>2340</v>
      </c>
      <c r="J562" s="201">
        <f>VLOOKUP(A562,MapasEqtos!$B$1:$S$10197,15,FALSE)</f>
        <v>35.793214255151518</v>
      </c>
      <c r="K562" s="201">
        <f>VLOOKUP(A562,MapasEqtos!$B$1:$S$10197,14,FALSE)</f>
        <v>35.4375</v>
      </c>
      <c r="L562" s="201"/>
    </row>
    <row r="563" spans="1:12" x14ac:dyDescent="0.2">
      <c r="A563" s="393" t="s">
        <v>1721</v>
      </c>
      <c r="B563" s="393" t="s">
        <v>393</v>
      </c>
      <c r="C563" s="93" t="s">
        <v>2</v>
      </c>
      <c r="D563" s="201">
        <f t="shared" si="513"/>
        <v>57.694499999999998</v>
      </c>
      <c r="E563" s="201">
        <f t="shared" si="514"/>
        <v>68.887232999999995</v>
      </c>
      <c r="F563" s="201">
        <f t="shared" si="515"/>
        <v>0</v>
      </c>
      <c r="H563" s="91" t="s">
        <v>2340</v>
      </c>
      <c r="J563" s="201">
        <f>VLOOKUP(A563,MapasEqtos!$B$1:$S$10197,15,FALSE)</f>
        <v>45</v>
      </c>
      <c r="K563" s="201">
        <f>VLOOKUP(A563,MapasEqtos!$B$1:$S$10197,14,FALSE)</f>
        <v>53.73</v>
      </c>
      <c r="L563" s="201"/>
    </row>
    <row r="564" spans="1:12" x14ac:dyDescent="0.2">
      <c r="A564" s="393" t="s">
        <v>1722</v>
      </c>
      <c r="B564" s="393" t="s">
        <v>1781</v>
      </c>
      <c r="C564" s="93" t="s">
        <v>26</v>
      </c>
      <c r="D564" s="201">
        <f t="shared" si="513"/>
        <v>48078.75</v>
      </c>
      <c r="E564" s="201">
        <f t="shared" si="514"/>
        <v>108978.5</v>
      </c>
      <c r="F564" s="201">
        <f t="shared" si="515"/>
        <v>0</v>
      </c>
      <c r="H564" s="91" t="s">
        <v>2340</v>
      </c>
      <c r="J564" s="201">
        <f>VLOOKUP(A564,MapasEqtos!$B$1:$S$10197,15,FALSE)</f>
        <v>37500</v>
      </c>
      <c r="K564" s="201">
        <f>VLOOKUP(A564,MapasEqtos!$B$1:$S$10197,14,FALSE)</f>
        <v>85000</v>
      </c>
      <c r="L564" s="201"/>
    </row>
    <row r="565" spans="1:12" x14ac:dyDescent="0.2">
      <c r="A565" s="393" t="s">
        <v>1723</v>
      </c>
      <c r="B565" s="393" t="s">
        <v>1762</v>
      </c>
      <c r="C565" s="93" t="s">
        <v>26</v>
      </c>
      <c r="D565" s="201">
        <f t="shared" si="513"/>
        <v>13462.050000000001</v>
      </c>
      <c r="E565" s="201">
        <f t="shared" si="514"/>
        <v>69746.240000000005</v>
      </c>
      <c r="F565" s="201">
        <f t="shared" si="515"/>
        <v>0</v>
      </c>
      <c r="H565" s="91" t="s">
        <v>2340</v>
      </c>
      <c r="J565" s="201">
        <f>VLOOKUP(A565,MapasEqtos!$B$1:$S$10197,15,FALSE)</f>
        <v>10500</v>
      </c>
      <c r="K565" s="201">
        <f>VLOOKUP(A565,MapasEqtos!$B$1:$S$10197,14,FALSE)</f>
        <v>54400</v>
      </c>
      <c r="L565" s="201"/>
    </row>
    <row r="566" spans="1:12" x14ac:dyDescent="0.2">
      <c r="A566" s="393" t="s">
        <v>1724</v>
      </c>
      <c r="B566" s="393" t="s">
        <v>395</v>
      </c>
      <c r="C566" s="93" t="s">
        <v>26</v>
      </c>
      <c r="D566" s="201">
        <f t="shared" si="513"/>
        <v>5128.3999999999996</v>
      </c>
      <c r="E566" s="201">
        <f t="shared" si="514"/>
        <v>9519.5925000000007</v>
      </c>
      <c r="F566" s="201">
        <f t="shared" si="515"/>
        <v>0</v>
      </c>
      <c r="H566" s="91" t="s">
        <v>2340</v>
      </c>
      <c r="J566" s="201">
        <f>VLOOKUP(A566,MapasEqtos!$B$1:$S$10197,15,FALSE)</f>
        <v>4000</v>
      </c>
      <c r="K566" s="201">
        <f>VLOOKUP(A566,MapasEqtos!$B$1:$S$10197,14,FALSE)</f>
        <v>7425.0000000000009</v>
      </c>
      <c r="L566" s="201"/>
    </row>
    <row r="567" spans="1:12" x14ac:dyDescent="0.2">
      <c r="A567" s="393" t="s">
        <v>1725</v>
      </c>
      <c r="B567" s="393" t="s">
        <v>1763</v>
      </c>
      <c r="C567" s="93" t="s">
        <v>26</v>
      </c>
      <c r="D567" s="201">
        <f t="shared" si="513"/>
        <v>5128.3999999999996</v>
      </c>
      <c r="E567" s="201">
        <f t="shared" si="514"/>
        <v>9519.5925000000007</v>
      </c>
      <c r="F567" s="201">
        <f t="shared" si="515"/>
        <v>0</v>
      </c>
      <c r="H567" s="91" t="s">
        <v>2340</v>
      </c>
      <c r="J567" s="201">
        <f>VLOOKUP(A567,MapasEqtos!$B$1:$S$10197,15,FALSE)</f>
        <v>4000</v>
      </c>
      <c r="K567" s="201">
        <f>VLOOKUP(A567,MapasEqtos!$B$1:$S$10197,14,FALSE)</f>
        <v>7425.0000000000009</v>
      </c>
      <c r="L567" s="201"/>
    </row>
    <row r="568" spans="1:12" x14ac:dyDescent="0.2">
      <c r="A568" s="393" t="s">
        <v>1726</v>
      </c>
      <c r="B568" s="393" t="s">
        <v>1764</v>
      </c>
      <c r="C568" s="93" t="s">
        <v>26</v>
      </c>
      <c r="D568" s="201">
        <f t="shared" si="513"/>
        <v>5128.3999999999996</v>
      </c>
      <c r="E568" s="201">
        <f t="shared" si="514"/>
        <v>8308.0079999999998</v>
      </c>
      <c r="F568" s="201">
        <f t="shared" si="515"/>
        <v>0</v>
      </c>
      <c r="H568" s="91" t="s">
        <v>2340</v>
      </c>
      <c r="J568" s="201">
        <f>VLOOKUP(A568,MapasEqtos!$B$1:$S$10197,15,FALSE)</f>
        <v>4000</v>
      </c>
      <c r="K568" s="201">
        <f>VLOOKUP(A568,MapasEqtos!$B$1:$S$10197,14,FALSE)</f>
        <v>6480</v>
      </c>
      <c r="L568" s="201"/>
    </row>
    <row r="569" spans="1:12" x14ac:dyDescent="0.2">
      <c r="A569" s="393" t="s">
        <v>1727</v>
      </c>
      <c r="B569" s="393" t="s">
        <v>396</v>
      </c>
      <c r="C569" s="93" t="s">
        <v>26</v>
      </c>
      <c r="D569" s="201">
        <f t="shared" si="513"/>
        <v>5128.3999999999996</v>
      </c>
      <c r="E569" s="201">
        <f t="shared" si="514"/>
        <v>8308.0079999999998</v>
      </c>
      <c r="F569" s="201">
        <f t="shared" si="515"/>
        <v>0</v>
      </c>
      <c r="H569" s="91" t="s">
        <v>2340</v>
      </c>
      <c r="J569" s="201">
        <f>VLOOKUP(A569,MapasEqtos!$B$1:$S$10197,15,FALSE)</f>
        <v>4000</v>
      </c>
      <c r="K569" s="201">
        <f>VLOOKUP(A569,MapasEqtos!$B$1:$S$10197,14,FALSE)</f>
        <v>6480</v>
      </c>
      <c r="L569" s="201"/>
    </row>
    <row r="570" spans="1:12" x14ac:dyDescent="0.2">
      <c r="A570" s="393" t="s">
        <v>1728</v>
      </c>
      <c r="B570" s="393" t="s">
        <v>397</v>
      </c>
      <c r="C570" s="93" t="s">
        <v>26</v>
      </c>
      <c r="D570" s="201">
        <f t="shared" si="513"/>
        <v>5128.3999999999996</v>
      </c>
      <c r="E570" s="201">
        <f t="shared" si="514"/>
        <v>10038.843000000001</v>
      </c>
      <c r="F570" s="201">
        <f t="shared" si="515"/>
        <v>0</v>
      </c>
      <c r="H570" s="91" t="s">
        <v>2340</v>
      </c>
      <c r="J570" s="201">
        <f>VLOOKUP(A570,MapasEqtos!$B$1:$S$10197,15,FALSE)</f>
        <v>4000</v>
      </c>
      <c r="K570" s="201">
        <f>VLOOKUP(A570,MapasEqtos!$B$1:$S$10197,14,FALSE)</f>
        <v>7830.0000000000009</v>
      </c>
      <c r="L570" s="201"/>
    </row>
    <row r="571" spans="1:12" x14ac:dyDescent="0.2">
      <c r="A571" s="393" t="s">
        <v>1729</v>
      </c>
      <c r="B571" s="393" t="s">
        <v>1765</v>
      </c>
      <c r="C571" s="93" t="s">
        <v>26</v>
      </c>
      <c r="D571" s="201">
        <f t="shared" si="513"/>
        <v>5128.3999999999996</v>
      </c>
      <c r="E571" s="201">
        <f t="shared" si="514"/>
        <v>8308.0079999999998</v>
      </c>
      <c r="F571" s="201">
        <f t="shared" si="515"/>
        <v>0</v>
      </c>
      <c r="H571" s="91" t="s">
        <v>2340</v>
      </c>
      <c r="J571" s="201">
        <f>VLOOKUP(A571,MapasEqtos!$B$1:$S$10197,15,FALSE)</f>
        <v>4000</v>
      </c>
      <c r="K571" s="201">
        <f>VLOOKUP(A571,MapasEqtos!$B$1:$S$10197,14,FALSE)</f>
        <v>6480</v>
      </c>
      <c r="L571" s="201"/>
    </row>
    <row r="572" spans="1:12" x14ac:dyDescent="0.2">
      <c r="A572" s="393" t="s">
        <v>1730</v>
      </c>
      <c r="B572" s="393" t="s">
        <v>1766</v>
      </c>
      <c r="C572" s="93" t="s">
        <v>26</v>
      </c>
      <c r="D572" s="201">
        <f t="shared" si="513"/>
        <v>8974.7000000000007</v>
      </c>
      <c r="E572" s="201">
        <f t="shared" si="514"/>
        <v>17436.560000000001</v>
      </c>
      <c r="F572" s="201">
        <f t="shared" si="515"/>
        <v>0</v>
      </c>
      <c r="H572" s="91" t="s">
        <v>2340</v>
      </c>
      <c r="J572" s="201">
        <f>VLOOKUP(A572,MapasEqtos!$B$1:$S$10197,15,FALSE)</f>
        <v>7000</v>
      </c>
      <c r="K572" s="201">
        <f>VLOOKUP(A572,MapasEqtos!$B$1:$S$10197,14,FALSE)</f>
        <v>13600</v>
      </c>
      <c r="L572" s="201"/>
    </row>
    <row r="573" spans="1:12" x14ac:dyDescent="0.2">
      <c r="A573" s="393" t="s">
        <v>1731</v>
      </c>
      <c r="B573" s="393" t="s">
        <v>1767</v>
      </c>
      <c r="C573" s="93" t="s">
        <v>26</v>
      </c>
      <c r="D573" s="201">
        <f t="shared" si="513"/>
        <v>8974.7000000000007</v>
      </c>
      <c r="E573" s="201">
        <f t="shared" si="514"/>
        <v>17436.560000000001</v>
      </c>
      <c r="F573" s="201">
        <f t="shared" si="515"/>
        <v>0</v>
      </c>
      <c r="H573" s="91" t="s">
        <v>2340</v>
      </c>
      <c r="J573" s="201">
        <f>VLOOKUP(A573,MapasEqtos!$B$1:$S$10197,15,FALSE)</f>
        <v>7000</v>
      </c>
      <c r="K573" s="201">
        <f>VLOOKUP(A573,MapasEqtos!$B$1:$S$10197,14,FALSE)</f>
        <v>13600</v>
      </c>
      <c r="L573" s="201"/>
    </row>
    <row r="574" spans="1:12" x14ac:dyDescent="0.2">
      <c r="A574" s="393" t="s">
        <v>1732</v>
      </c>
      <c r="B574" s="393" t="s">
        <v>1768</v>
      </c>
      <c r="C574" s="93" t="s">
        <v>26</v>
      </c>
      <c r="D574" s="201">
        <f t="shared" si="513"/>
        <v>1538.52</v>
      </c>
      <c r="E574" s="201">
        <f t="shared" si="514"/>
        <v>5019.4215000000004</v>
      </c>
      <c r="F574" s="201">
        <f t="shared" si="515"/>
        <v>0</v>
      </c>
      <c r="H574" s="91" t="s">
        <v>2340</v>
      </c>
      <c r="J574" s="201">
        <f>VLOOKUP(A574,MapasEqtos!$B$1:$S$10197,15,FALSE)</f>
        <v>1200</v>
      </c>
      <c r="K574" s="201">
        <f>VLOOKUP(A574,MapasEqtos!$B$1:$S$10197,14,FALSE)</f>
        <v>3915.0000000000005</v>
      </c>
      <c r="L574" s="201"/>
    </row>
    <row r="575" spans="1:12" x14ac:dyDescent="0.2">
      <c r="A575" s="393" t="s">
        <v>1733</v>
      </c>
      <c r="B575" s="393" t="s">
        <v>1769</v>
      </c>
      <c r="C575" s="93" t="s">
        <v>26</v>
      </c>
      <c r="D575" s="201">
        <f t="shared" si="513"/>
        <v>1538.52</v>
      </c>
      <c r="E575" s="201">
        <f t="shared" si="514"/>
        <v>5019.4215000000004</v>
      </c>
      <c r="F575" s="201">
        <f t="shared" si="515"/>
        <v>0</v>
      </c>
      <c r="H575" s="91" t="s">
        <v>2340</v>
      </c>
      <c r="J575" s="201">
        <f>VLOOKUP(A575,MapasEqtos!$B$1:$S$10197,15,FALSE)</f>
        <v>1200</v>
      </c>
      <c r="K575" s="201">
        <f>VLOOKUP(A575,MapasEqtos!$B$1:$S$10197,14,FALSE)</f>
        <v>3915.0000000000005</v>
      </c>
      <c r="L575" s="201"/>
    </row>
    <row r="576" spans="1:12" x14ac:dyDescent="0.2">
      <c r="A576" s="393" t="s">
        <v>1734</v>
      </c>
      <c r="B576" s="393" t="s">
        <v>1770</v>
      </c>
      <c r="C576" s="93" t="s">
        <v>26</v>
      </c>
      <c r="D576" s="201">
        <f t="shared" si="513"/>
        <v>1538.52</v>
      </c>
      <c r="E576" s="201">
        <f t="shared" si="514"/>
        <v>5019.4215000000004</v>
      </c>
      <c r="F576" s="201">
        <f t="shared" si="515"/>
        <v>0</v>
      </c>
      <c r="H576" s="91" t="s">
        <v>2340</v>
      </c>
      <c r="J576" s="201">
        <f>VLOOKUP(A576,MapasEqtos!$B$1:$S$10197,15,FALSE)</f>
        <v>1200</v>
      </c>
      <c r="K576" s="201">
        <f>VLOOKUP(A576,MapasEqtos!$B$1:$S$10197,14,FALSE)</f>
        <v>3915.0000000000005</v>
      </c>
      <c r="L576" s="201"/>
    </row>
    <row r="577" spans="1:12" x14ac:dyDescent="0.2">
      <c r="A577" s="393" t="s">
        <v>1735</v>
      </c>
      <c r="B577" s="393" t="s">
        <v>1771</v>
      </c>
      <c r="C577" s="93" t="s">
        <v>26</v>
      </c>
      <c r="D577" s="201">
        <f t="shared" si="513"/>
        <v>1538.52</v>
      </c>
      <c r="E577" s="201">
        <f t="shared" si="514"/>
        <v>5019.4215000000004</v>
      </c>
      <c r="F577" s="201">
        <f t="shared" si="515"/>
        <v>0</v>
      </c>
      <c r="H577" s="91" t="s">
        <v>2340</v>
      </c>
      <c r="J577" s="201">
        <f>VLOOKUP(A577,MapasEqtos!$B$1:$S$10197,15,FALSE)</f>
        <v>1200</v>
      </c>
      <c r="K577" s="201">
        <f>VLOOKUP(A577,MapasEqtos!$B$1:$S$10197,14,FALSE)</f>
        <v>3915.0000000000005</v>
      </c>
      <c r="L577" s="201"/>
    </row>
    <row r="578" spans="1:12" x14ac:dyDescent="0.2">
      <c r="A578" s="393" t="s">
        <v>1736</v>
      </c>
      <c r="B578" s="393" t="s">
        <v>1772</v>
      </c>
      <c r="C578" s="93" t="s">
        <v>26</v>
      </c>
      <c r="D578" s="201">
        <f t="shared" si="513"/>
        <v>1538.52</v>
      </c>
      <c r="E578" s="201">
        <f t="shared" si="514"/>
        <v>5019.4215000000004</v>
      </c>
      <c r="F578" s="201">
        <f t="shared" si="515"/>
        <v>0</v>
      </c>
      <c r="H578" s="91" t="s">
        <v>2340</v>
      </c>
      <c r="J578" s="201">
        <f>VLOOKUP(A578,MapasEqtos!$B$1:$S$10197,15,FALSE)</f>
        <v>1200</v>
      </c>
      <c r="K578" s="201">
        <f>VLOOKUP(A578,MapasEqtos!$B$1:$S$10197,14,FALSE)</f>
        <v>3915.0000000000005</v>
      </c>
      <c r="L578" s="201"/>
    </row>
    <row r="579" spans="1:12" x14ac:dyDescent="0.2">
      <c r="A579" s="393" t="s">
        <v>1737</v>
      </c>
      <c r="B579" s="393" t="s">
        <v>398</v>
      </c>
      <c r="C579" s="93" t="s">
        <v>26</v>
      </c>
      <c r="D579" s="201">
        <f t="shared" si="513"/>
        <v>9615.75</v>
      </c>
      <c r="E579" s="201">
        <f t="shared" si="514"/>
        <v>10897.85</v>
      </c>
      <c r="F579" s="201">
        <f t="shared" si="515"/>
        <v>0</v>
      </c>
      <c r="H579" s="91" t="s">
        <v>2340</v>
      </c>
      <c r="J579" s="201">
        <f>VLOOKUP(A579,MapasEqtos!$B$1:$S$10197,15,FALSE)</f>
        <v>7500</v>
      </c>
      <c r="K579" s="201">
        <f>VLOOKUP(A579,MapasEqtos!$B$1:$S$10197,14,FALSE)</f>
        <v>8500</v>
      </c>
      <c r="L579" s="201"/>
    </row>
    <row r="580" spans="1:12" x14ac:dyDescent="0.2">
      <c r="A580" s="393" t="s">
        <v>1738</v>
      </c>
      <c r="B580" s="393" t="s">
        <v>399</v>
      </c>
      <c r="C580" s="93" t="s">
        <v>26</v>
      </c>
      <c r="D580" s="201">
        <f t="shared" si="513"/>
        <v>9615.75</v>
      </c>
      <c r="E580" s="201">
        <f t="shared" si="514"/>
        <v>17436.560000000001</v>
      </c>
      <c r="F580" s="201">
        <f t="shared" si="515"/>
        <v>0</v>
      </c>
      <c r="H580" s="91" t="s">
        <v>2340</v>
      </c>
      <c r="J580" s="201">
        <f>VLOOKUP(A580,MapasEqtos!$B$1:$S$10197,15,FALSE)</f>
        <v>7500</v>
      </c>
      <c r="K580" s="201">
        <f>VLOOKUP(A580,MapasEqtos!$B$1:$S$10197,14,FALSE)</f>
        <v>13600</v>
      </c>
      <c r="L580" s="201"/>
    </row>
    <row r="581" spans="1:12" x14ac:dyDescent="0.2">
      <c r="A581" s="393" t="s">
        <v>1739</v>
      </c>
      <c r="B581" s="393" t="s">
        <v>400</v>
      </c>
      <c r="C581" s="93" t="s">
        <v>26</v>
      </c>
      <c r="D581" s="201">
        <f t="shared" si="513"/>
        <v>9615.75</v>
      </c>
      <c r="E581" s="201">
        <f t="shared" si="514"/>
        <v>17436.560000000001</v>
      </c>
      <c r="F581" s="201">
        <f t="shared" si="515"/>
        <v>0</v>
      </c>
      <c r="H581" s="91" t="s">
        <v>2340</v>
      </c>
      <c r="J581" s="201">
        <f>VLOOKUP(A581,MapasEqtos!$B$1:$S$10197,15,FALSE)</f>
        <v>7500</v>
      </c>
      <c r="K581" s="201">
        <f>VLOOKUP(A581,MapasEqtos!$B$1:$S$10197,14,FALSE)</f>
        <v>13600</v>
      </c>
      <c r="L581" s="201"/>
    </row>
    <row r="582" spans="1:12" x14ac:dyDescent="0.2">
      <c r="A582" s="393" t="s">
        <v>1740</v>
      </c>
      <c r="B582" s="393" t="s">
        <v>401</v>
      </c>
      <c r="C582" s="93" t="s">
        <v>26</v>
      </c>
      <c r="D582" s="201">
        <f t="shared" si="513"/>
        <v>9615.75</v>
      </c>
      <c r="E582" s="201">
        <f t="shared" si="514"/>
        <v>17436.560000000001</v>
      </c>
      <c r="F582" s="201">
        <f t="shared" si="515"/>
        <v>0</v>
      </c>
      <c r="H582" s="91" t="s">
        <v>2340</v>
      </c>
      <c r="J582" s="201">
        <f>VLOOKUP(A582,MapasEqtos!$B$1:$S$10197,15,FALSE)</f>
        <v>7500</v>
      </c>
      <c r="K582" s="201">
        <f>VLOOKUP(A582,MapasEqtos!$B$1:$S$10197,14,FALSE)</f>
        <v>13600</v>
      </c>
      <c r="L582" s="201"/>
    </row>
    <row r="583" spans="1:12" x14ac:dyDescent="0.2">
      <c r="A583" s="393" t="s">
        <v>1741</v>
      </c>
      <c r="B583" s="393" t="s">
        <v>402</v>
      </c>
      <c r="C583" s="93" t="s">
        <v>26</v>
      </c>
      <c r="D583" s="201">
        <f t="shared" si="513"/>
        <v>9615.75</v>
      </c>
      <c r="E583" s="201">
        <f t="shared" si="514"/>
        <v>17436.560000000001</v>
      </c>
      <c r="F583" s="201">
        <f t="shared" si="515"/>
        <v>0</v>
      </c>
      <c r="H583" s="91" t="s">
        <v>2340</v>
      </c>
      <c r="J583" s="201">
        <f>VLOOKUP(A583,MapasEqtos!$B$1:$S$10197,15,FALSE)</f>
        <v>7500</v>
      </c>
      <c r="K583" s="201">
        <f>VLOOKUP(A583,MapasEqtos!$B$1:$S$10197,14,FALSE)</f>
        <v>13600</v>
      </c>
      <c r="L583" s="201"/>
    </row>
    <row r="584" spans="1:12" x14ac:dyDescent="0.2">
      <c r="A584" s="393" t="s">
        <v>1742</v>
      </c>
      <c r="B584" s="393" t="s">
        <v>403</v>
      </c>
      <c r="C584" s="93" t="s">
        <v>26</v>
      </c>
      <c r="D584" s="201">
        <f t="shared" si="513"/>
        <v>9615.75</v>
      </c>
      <c r="E584" s="201">
        <f t="shared" si="514"/>
        <v>17436.560000000001</v>
      </c>
      <c r="F584" s="201">
        <f t="shared" si="515"/>
        <v>0</v>
      </c>
      <c r="H584" s="91" t="s">
        <v>2340</v>
      </c>
      <c r="J584" s="201">
        <f>VLOOKUP(A584,MapasEqtos!$B$1:$S$10197,15,FALSE)</f>
        <v>7500</v>
      </c>
      <c r="K584" s="201">
        <f>VLOOKUP(A584,MapasEqtos!$B$1:$S$10197,14,FALSE)</f>
        <v>13600</v>
      </c>
      <c r="L584" s="201"/>
    </row>
    <row r="585" spans="1:12" x14ac:dyDescent="0.2">
      <c r="A585" s="393" t="s">
        <v>1743</v>
      </c>
      <c r="B585" s="393" t="s">
        <v>1773</v>
      </c>
      <c r="C585" s="93" t="s">
        <v>26</v>
      </c>
      <c r="D585" s="201">
        <f t="shared" si="513"/>
        <v>1538.52</v>
      </c>
      <c r="E585" s="201">
        <f t="shared" si="514"/>
        <v>5019.4215000000004</v>
      </c>
      <c r="F585" s="201">
        <f t="shared" si="515"/>
        <v>0</v>
      </c>
      <c r="H585" s="91" t="s">
        <v>2340</v>
      </c>
      <c r="J585" s="201">
        <f>VLOOKUP(A585,MapasEqtos!$B$1:$S$10197,15,FALSE)</f>
        <v>1200</v>
      </c>
      <c r="K585" s="201">
        <f>VLOOKUP(A585,MapasEqtos!$B$1:$S$10197,14,FALSE)</f>
        <v>3915.0000000000005</v>
      </c>
      <c r="L585" s="201"/>
    </row>
    <row r="586" spans="1:12" x14ac:dyDescent="0.2">
      <c r="A586" s="393" t="s">
        <v>1744</v>
      </c>
      <c r="B586" s="393" t="s">
        <v>404</v>
      </c>
      <c r="C586" s="93" t="s">
        <v>3</v>
      </c>
      <c r="D586" s="201">
        <f t="shared" si="513"/>
        <v>332.15966473678679</v>
      </c>
      <c r="E586" s="201">
        <f t="shared" si="514"/>
        <v>328.85865000000001</v>
      </c>
      <c r="F586" s="201">
        <f t="shared" si="515"/>
        <v>0</v>
      </c>
      <c r="H586" s="91" t="s">
        <v>2340</v>
      </c>
      <c r="J586" s="201">
        <f>VLOOKUP(A586,MapasEqtos!$B$1:$S$10197,15,FALSE)</f>
        <v>259.07469365633477</v>
      </c>
      <c r="K586" s="201">
        <f>VLOOKUP(A586,MapasEqtos!$B$1:$S$10197,14,FALSE)</f>
        <v>256.5</v>
      </c>
      <c r="L586" s="201"/>
    </row>
    <row r="587" spans="1:12" x14ac:dyDescent="0.2">
      <c r="A587" s="393" t="s">
        <v>1745</v>
      </c>
      <c r="B587" s="393" t="s">
        <v>406</v>
      </c>
      <c r="C587" s="93" t="s">
        <v>26</v>
      </c>
      <c r="D587" s="201">
        <f t="shared" si="513"/>
        <v>7692.6</v>
      </c>
      <c r="E587" s="201">
        <f t="shared" si="514"/>
        <v>72695.070000000007</v>
      </c>
      <c r="F587" s="201">
        <f t="shared" si="515"/>
        <v>0</v>
      </c>
      <c r="H587" s="91" t="s">
        <v>2340</v>
      </c>
      <c r="J587" s="201">
        <f>VLOOKUP(A587,MapasEqtos!$B$1:$S$10197,15,FALSE)</f>
        <v>6000</v>
      </c>
      <c r="K587" s="201">
        <f>VLOOKUP(A587,MapasEqtos!$B$1:$S$10197,14,FALSE)</f>
        <v>56700.000000000007</v>
      </c>
      <c r="L587" s="201"/>
    </row>
    <row r="588" spans="1:12" x14ac:dyDescent="0.2">
      <c r="A588" s="393" t="s">
        <v>1746</v>
      </c>
      <c r="B588" s="393" t="s">
        <v>407</v>
      </c>
      <c r="C588" s="93" t="s">
        <v>26</v>
      </c>
      <c r="D588" s="201">
        <f t="shared" si="513"/>
        <v>7692.6</v>
      </c>
      <c r="E588" s="201">
        <f t="shared" si="514"/>
        <v>135005.13</v>
      </c>
      <c r="F588" s="201">
        <f t="shared" si="515"/>
        <v>0</v>
      </c>
      <c r="H588" s="91" t="s">
        <v>2340</v>
      </c>
      <c r="J588" s="201">
        <f>VLOOKUP(A588,MapasEqtos!$B$1:$S$10197,15,FALSE)</f>
        <v>6000</v>
      </c>
      <c r="K588" s="201">
        <f>VLOOKUP(A588,MapasEqtos!$B$1:$S$10197,14,FALSE)</f>
        <v>105300</v>
      </c>
      <c r="L588" s="201"/>
    </row>
    <row r="589" spans="1:12" x14ac:dyDescent="0.2">
      <c r="A589" s="393" t="s">
        <v>1747</v>
      </c>
      <c r="B589" s="393" t="s">
        <v>409</v>
      </c>
      <c r="C589" s="93" t="s">
        <v>3</v>
      </c>
      <c r="D589" s="201">
        <f t="shared" si="513"/>
        <v>6643.1932947357363</v>
      </c>
      <c r="E589" s="201">
        <f t="shared" si="514"/>
        <v>6577.1729999999998</v>
      </c>
      <c r="F589" s="201">
        <f t="shared" si="515"/>
        <v>0</v>
      </c>
      <c r="H589" s="91" t="s">
        <v>2340</v>
      </c>
      <c r="J589" s="201">
        <f>VLOOKUP(A589,MapasEqtos!$B$1:$S$10197,15,FALSE)</f>
        <v>5181.4938731266957</v>
      </c>
      <c r="K589" s="201">
        <f>VLOOKUP(A589,MapasEqtos!$B$1:$S$10197,14,FALSE)</f>
        <v>5130</v>
      </c>
      <c r="L589" s="201"/>
    </row>
    <row r="590" spans="1:12" x14ac:dyDescent="0.2">
      <c r="A590" s="393" t="s">
        <v>1748</v>
      </c>
      <c r="B590" s="393" t="s">
        <v>410</v>
      </c>
      <c r="C590" s="93" t="s">
        <v>2</v>
      </c>
      <c r="D590" s="201">
        <f t="shared" si="513"/>
        <v>3846.0592758996377</v>
      </c>
      <c r="E590" s="201">
        <f t="shared" si="514"/>
        <v>3807.837</v>
      </c>
      <c r="F590" s="201">
        <f t="shared" si="515"/>
        <v>0</v>
      </c>
      <c r="H590" s="91" t="s">
        <v>2340</v>
      </c>
      <c r="J590" s="201">
        <f>VLOOKUP(A590,MapasEqtos!$B$1:$S$10197,15,FALSE)</f>
        <v>2999.8122423365085</v>
      </c>
      <c r="K590" s="201">
        <f>VLOOKUP(A590,MapasEqtos!$B$1:$S$10197,14,FALSE)</f>
        <v>2970</v>
      </c>
      <c r="L590" s="201"/>
    </row>
    <row r="591" spans="1:12" x14ac:dyDescent="0.2">
      <c r="A591" s="393" t="s">
        <v>1749</v>
      </c>
      <c r="B591" s="393" t="s">
        <v>412</v>
      </c>
      <c r="C591" s="93" t="s">
        <v>3</v>
      </c>
      <c r="D591" s="201">
        <f t="shared" si="513"/>
        <v>15385.2</v>
      </c>
      <c r="E591" s="201">
        <f t="shared" si="514"/>
        <v>155775.15000000002</v>
      </c>
      <c r="F591" s="201">
        <f t="shared" si="515"/>
        <v>0</v>
      </c>
      <c r="H591" s="91" t="s">
        <v>2340</v>
      </c>
      <c r="J591" s="201">
        <f>VLOOKUP(A591,MapasEqtos!$B$1:$S$10197,15,FALSE)</f>
        <v>12000</v>
      </c>
      <c r="K591" s="201">
        <f>VLOOKUP(A591,MapasEqtos!$B$1:$S$10197,14,FALSE)</f>
        <v>121500.00000000001</v>
      </c>
      <c r="L591" s="201"/>
    </row>
    <row r="592" spans="1:12" x14ac:dyDescent="0.2">
      <c r="A592" s="393" t="s">
        <v>1750</v>
      </c>
      <c r="B592" s="393" t="s">
        <v>413</v>
      </c>
      <c r="C592" s="93" t="s">
        <v>26</v>
      </c>
      <c r="D592" s="201">
        <f t="shared" si="513"/>
        <v>32052.5</v>
      </c>
      <c r="E592" s="201">
        <f t="shared" si="514"/>
        <v>892456.98900000006</v>
      </c>
      <c r="F592" s="201">
        <f t="shared" si="515"/>
        <v>0</v>
      </c>
      <c r="H592" s="91" t="s">
        <v>2340</v>
      </c>
      <c r="J592" s="201">
        <f>VLOOKUP(A592,MapasEqtos!$B$1:$S$10197,15,FALSE)</f>
        <v>25000</v>
      </c>
      <c r="K592" s="201">
        <f>VLOOKUP(A592,MapasEqtos!$B$1:$S$10197,14,FALSE)</f>
        <v>696090</v>
      </c>
      <c r="L592" s="201"/>
    </row>
    <row r="593" spans="1:12" x14ac:dyDescent="0.2">
      <c r="A593" s="393" t="s">
        <v>1751</v>
      </c>
      <c r="B593" s="393" t="s">
        <v>414</v>
      </c>
      <c r="C593" s="93" t="s">
        <v>3</v>
      </c>
      <c r="D593" s="201">
        <f t="shared" si="513"/>
        <v>5769.45</v>
      </c>
      <c r="E593" s="201">
        <f t="shared" si="514"/>
        <v>20770.020000000004</v>
      </c>
      <c r="F593" s="201">
        <f t="shared" si="515"/>
        <v>0</v>
      </c>
      <c r="H593" s="91" t="s">
        <v>2340</v>
      </c>
      <c r="J593" s="201">
        <f>VLOOKUP(A593,MapasEqtos!$B$1:$S$10197,15,FALSE)</f>
        <v>4500</v>
      </c>
      <c r="K593" s="201">
        <f>VLOOKUP(A593,MapasEqtos!$B$1:$S$10197,14,FALSE)</f>
        <v>16200.000000000002</v>
      </c>
      <c r="L593" s="201"/>
    </row>
    <row r="594" spans="1:12" x14ac:dyDescent="0.2">
      <c r="A594" s="393" t="s">
        <v>1752</v>
      </c>
      <c r="B594" s="393" t="s">
        <v>415</v>
      </c>
      <c r="C594" s="93" t="s">
        <v>3</v>
      </c>
      <c r="D594" s="201">
        <f t="shared" si="513"/>
        <v>3846.3</v>
      </c>
      <c r="E594" s="201">
        <f t="shared" si="514"/>
        <v>9519.5925000000007</v>
      </c>
      <c r="F594" s="201">
        <f t="shared" si="515"/>
        <v>0</v>
      </c>
      <c r="H594" s="91" t="s">
        <v>2340</v>
      </c>
      <c r="J594" s="201">
        <f>VLOOKUP(A594,MapasEqtos!$B$1:$S$10197,15,FALSE)</f>
        <v>3000</v>
      </c>
      <c r="K594" s="201">
        <f>VLOOKUP(A594,MapasEqtos!$B$1:$S$10197,14,FALSE)</f>
        <v>7425.0000000000009</v>
      </c>
      <c r="L594" s="201"/>
    </row>
    <row r="595" spans="1:12" x14ac:dyDescent="0.2">
      <c r="A595" s="393" t="s">
        <v>1753</v>
      </c>
      <c r="B595" s="393" t="s">
        <v>416</v>
      </c>
      <c r="C595" s="93" t="s">
        <v>3</v>
      </c>
      <c r="D595" s="201">
        <f t="shared" ref="D595:D602" si="516">J595*$J$4</f>
        <v>82695.45</v>
      </c>
      <c r="E595" s="201">
        <f t="shared" ref="E595:E602" si="517">K595*$J$4</f>
        <v>261548.4</v>
      </c>
      <c r="F595" s="201">
        <f t="shared" ref="F595:F602" si="518">L595*$J$4</f>
        <v>0</v>
      </c>
      <c r="H595" s="91" t="s">
        <v>2340</v>
      </c>
      <c r="J595" s="201">
        <f>VLOOKUP(A595,MapasEqtos!$B$1:$S$10197,15,FALSE)</f>
        <v>64500</v>
      </c>
      <c r="K595" s="201">
        <f>VLOOKUP(A595,MapasEqtos!$B$1:$S$10197,14,FALSE)</f>
        <v>204000</v>
      </c>
      <c r="L595" s="201"/>
    </row>
    <row r="596" spans="1:12" x14ac:dyDescent="0.2">
      <c r="A596" s="393" t="s">
        <v>1754</v>
      </c>
      <c r="B596" s="393" t="s">
        <v>417</v>
      </c>
      <c r="C596" s="93" t="s">
        <v>3</v>
      </c>
      <c r="D596" s="201">
        <f t="shared" si="516"/>
        <v>961.57500000000005</v>
      </c>
      <c r="E596" s="201">
        <f t="shared" si="517"/>
        <v>1743.6559999999999</v>
      </c>
      <c r="F596" s="201">
        <f t="shared" si="518"/>
        <v>0</v>
      </c>
      <c r="H596" s="91" t="s">
        <v>2340</v>
      </c>
      <c r="J596" s="201">
        <f>VLOOKUP(A596,MapasEqtos!$B$1:$S$10197,15,FALSE)</f>
        <v>750</v>
      </c>
      <c r="K596" s="201">
        <f>VLOOKUP(A596,MapasEqtos!$B$1:$S$10197,14,FALSE)</f>
        <v>1360</v>
      </c>
      <c r="L596" s="201"/>
    </row>
    <row r="597" spans="1:12" x14ac:dyDescent="0.2">
      <c r="A597" s="393" t="s">
        <v>1755</v>
      </c>
      <c r="B597" s="393" t="s">
        <v>418</v>
      </c>
      <c r="C597" s="93" t="s">
        <v>3</v>
      </c>
      <c r="D597" s="201">
        <f t="shared" si="516"/>
        <v>961.57500000000005</v>
      </c>
      <c r="E597" s="201">
        <f t="shared" si="517"/>
        <v>2615.4839999999999</v>
      </c>
      <c r="F597" s="201">
        <f t="shared" si="518"/>
        <v>0</v>
      </c>
      <c r="H597" s="91" t="s">
        <v>2340</v>
      </c>
      <c r="J597" s="201">
        <f>VLOOKUP(A597,MapasEqtos!$B$1:$S$10197,15,FALSE)</f>
        <v>750</v>
      </c>
      <c r="K597" s="201">
        <f>VLOOKUP(A597,MapasEqtos!$B$1:$S$10197,14,FALSE)</f>
        <v>2040</v>
      </c>
      <c r="L597" s="201"/>
    </row>
    <row r="598" spans="1:12" x14ac:dyDescent="0.2">
      <c r="A598" s="393" t="s">
        <v>1756</v>
      </c>
      <c r="B598" s="393" t="s">
        <v>419</v>
      </c>
      <c r="C598" s="93" t="s">
        <v>1780</v>
      </c>
      <c r="D598" s="201">
        <f t="shared" si="516"/>
        <v>384.63</v>
      </c>
      <c r="E598" s="201">
        <f t="shared" si="517"/>
        <v>2596.2525000000005</v>
      </c>
      <c r="F598" s="201">
        <f t="shared" si="518"/>
        <v>0</v>
      </c>
      <c r="H598" s="91" t="s">
        <v>2340</v>
      </c>
      <c r="J598" s="201">
        <f>VLOOKUP(A598,MapasEqtos!$B$1:$S$10197,15,FALSE)</f>
        <v>300</v>
      </c>
      <c r="K598" s="201">
        <f>VLOOKUP(A598,MapasEqtos!$B$1:$S$10197,14,FALSE)</f>
        <v>2025.0000000000002</v>
      </c>
      <c r="L598" s="201"/>
    </row>
    <row r="599" spans="1:12" x14ac:dyDescent="0.2">
      <c r="A599" s="393" t="s">
        <v>1757</v>
      </c>
      <c r="B599" s="393" t="s">
        <v>420</v>
      </c>
      <c r="C599" s="93" t="s">
        <v>1780</v>
      </c>
      <c r="D599" s="201">
        <f t="shared" si="516"/>
        <v>38.463000000000001</v>
      </c>
      <c r="E599" s="201">
        <f t="shared" si="517"/>
        <v>108.9785</v>
      </c>
      <c r="F599" s="201">
        <f t="shared" si="518"/>
        <v>0</v>
      </c>
      <c r="H599" s="91" t="s">
        <v>2340</v>
      </c>
      <c r="J599" s="201">
        <f>VLOOKUP(A599,MapasEqtos!$B$1:$S$10197,15,FALSE)</f>
        <v>30</v>
      </c>
      <c r="K599" s="201">
        <f>VLOOKUP(A599,MapasEqtos!$B$1:$S$10197,14,FALSE)</f>
        <v>85</v>
      </c>
      <c r="L599" s="201"/>
    </row>
    <row r="600" spans="1:12" x14ac:dyDescent="0.2">
      <c r="A600" s="393" t="s">
        <v>1758</v>
      </c>
      <c r="B600" s="393" t="s">
        <v>421</v>
      </c>
      <c r="C600" s="93" t="s">
        <v>3</v>
      </c>
      <c r="D600" s="201">
        <f t="shared" si="516"/>
        <v>384.63</v>
      </c>
      <c r="E600" s="201">
        <f t="shared" si="517"/>
        <v>536.55885000000001</v>
      </c>
      <c r="F600" s="201">
        <f t="shared" si="518"/>
        <v>0</v>
      </c>
      <c r="H600" s="91" t="s">
        <v>2340</v>
      </c>
      <c r="J600" s="201">
        <f>VLOOKUP(A600,MapasEqtos!$B$1:$S$10197,15,FALSE)</f>
        <v>300</v>
      </c>
      <c r="K600" s="201">
        <f>VLOOKUP(A600,MapasEqtos!$B$1:$S$10197,14,FALSE)</f>
        <v>418.5</v>
      </c>
      <c r="L600" s="201"/>
    </row>
    <row r="601" spans="1:12" x14ac:dyDescent="0.2">
      <c r="A601" s="393" t="s">
        <v>1759</v>
      </c>
      <c r="B601" s="393" t="s">
        <v>422</v>
      </c>
      <c r="C601" s="93" t="s">
        <v>3</v>
      </c>
      <c r="D601" s="201">
        <f t="shared" si="516"/>
        <v>96.157499999999999</v>
      </c>
      <c r="E601" s="201">
        <f t="shared" si="517"/>
        <v>152.56989999999999</v>
      </c>
      <c r="F601" s="201">
        <f t="shared" si="518"/>
        <v>0</v>
      </c>
      <c r="H601" s="91" t="s">
        <v>2340</v>
      </c>
      <c r="J601" s="201">
        <f>VLOOKUP(A601,MapasEqtos!$B$1:$S$10197,15,FALSE)</f>
        <v>75</v>
      </c>
      <c r="K601" s="201">
        <f>VLOOKUP(A601,MapasEqtos!$B$1:$S$10197,14,FALSE)</f>
        <v>119</v>
      </c>
      <c r="L601" s="201"/>
    </row>
    <row r="602" spans="1:12" x14ac:dyDescent="0.2">
      <c r="A602" s="393" t="s">
        <v>1760</v>
      </c>
      <c r="B602" s="393" t="s">
        <v>423</v>
      </c>
      <c r="C602" s="93" t="s">
        <v>3</v>
      </c>
      <c r="D602" s="201">
        <f t="shared" si="516"/>
        <v>19.2315</v>
      </c>
      <c r="E602" s="201">
        <f t="shared" si="517"/>
        <v>32.693550000000002</v>
      </c>
      <c r="F602" s="201">
        <f t="shared" si="518"/>
        <v>0</v>
      </c>
      <c r="H602" s="91" t="s">
        <v>2340</v>
      </c>
      <c r="J602" s="201">
        <f>VLOOKUP(A602,MapasEqtos!$B$1:$S$10197,15,FALSE)</f>
        <v>15</v>
      </c>
      <c r="K602" s="201">
        <f>VLOOKUP(A602,MapasEqtos!$B$1:$S$10197,14,FALSE)</f>
        <v>25.5</v>
      </c>
      <c r="L602" s="201"/>
    </row>
    <row r="603" spans="1:12" x14ac:dyDescent="0.2">
      <c r="A603" s="393" t="s">
        <v>1774</v>
      </c>
      <c r="B603" s="393" t="s">
        <v>424</v>
      </c>
      <c r="C603" s="93" t="s">
        <v>3</v>
      </c>
      <c r="D603" s="201">
        <f t="shared" ref="D603:D608" si="519">J603*$J$4</f>
        <v>43.705219044314056</v>
      </c>
      <c r="E603" s="201">
        <f t="shared" ref="E603:E608" si="520">K603*$J$4</f>
        <v>43.270875000000004</v>
      </c>
      <c r="F603" s="201">
        <f t="shared" ref="F603:F608" si="521">L603*$J$4</f>
        <v>0</v>
      </c>
      <c r="H603" s="91" t="s">
        <v>2340</v>
      </c>
      <c r="J603" s="201">
        <f>VLOOKUP(A603,MapasEqtos!$B$1:$S$10197,15,FALSE)</f>
        <v>34.088775481096683</v>
      </c>
      <c r="K603" s="201">
        <f>VLOOKUP(A603,MapasEqtos!$B$1:$S$10197,14,FALSE)</f>
        <v>33.75</v>
      </c>
      <c r="L603" s="201"/>
    </row>
    <row r="604" spans="1:12" x14ac:dyDescent="0.2">
      <c r="A604" s="393" t="s">
        <v>1775</v>
      </c>
      <c r="B604" s="393" t="s">
        <v>438</v>
      </c>
      <c r="C604" s="93" t="s">
        <v>1611</v>
      </c>
      <c r="D604" s="201">
        <f t="shared" si="519"/>
        <v>0</v>
      </c>
      <c r="E604" s="201">
        <f t="shared" si="520"/>
        <v>32549.877442968111</v>
      </c>
      <c r="F604" s="201">
        <f t="shared" si="521"/>
        <v>0</v>
      </c>
      <c r="H604" s="91" t="s">
        <v>2340</v>
      </c>
      <c r="J604" s="201">
        <f>VLOOKUP(A604,MapasEqtos!$B$1:$S$10197,15,FALSE)</f>
        <v>0</v>
      </c>
      <c r="K604" s="201">
        <f>VLOOKUP(A604,MapasEqtos!$B$1:$S$10197,14,FALSE)</f>
        <v>25387.939663807902</v>
      </c>
      <c r="L604" s="201"/>
    </row>
    <row r="605" spans="1:12" x14ac:dyDescent="0.2">
      <c r="A605" s="393" t="s">
        <v>1776</v>
      </c>
      <c r="B605" s="393" t="s">
        <v>2188</v>
      </c>
      <c r="C605" s="93" t="s">
        <v>2</v>
      </c>
      <c r="D605" s="201">
        <f t="shared" si="519"/>
        <v>8.4992412776540345</v>
      </c>
      <c r="E605" s="201">
        <f t="shared" si="520"/>
        <v>13.194155205000003</v>
      </c>
      <c r="F605" s="201">
        <f t="shared" si="521"/>
        <v>0</v>
      </c>
      <c r="H605" s="91" t="s">
        <v>2340</v>
      </c>
      <c r="J605" s="201">
        <f>VLOOKUP(A605,MapasEqtos!$B$1:$S$10197,15,FALSE)</f>
        <v>6.6291562886311795</v>
      </c>
      <c r="K605" s="201">
        <f>VLOOKUP(A605,MapasEqtos!$B$1:$S$10197,14,FALSE)</f>
        <v>10.291050000000002</v>
      </c>
      <c r="L605" s="201"/>
    </row>
    <row r="606" spans="1:12" x14ac:dyDescent="0.2">
      <c r="A606" s="393" t="s">
        <v>1777</v>
      </c>
      <c r="B606" s="393" t="s">
        <v>2189</v>
      </c>
      <c r="C606" s="93" t="s">
        <v>2</v>
      </c>
      <c r="D606" s="201">
        <f t="shared" si="519"/>
        <v>21.732547682543945</v>
      </c>
      <c r="E606" s="201">
        <f t="shared" si="520"/>
        <v>33.737435820000002</v>
      </c>
      <c r="F606" s="201">
        <f t="shared" si="521"/>
        <v>0</v>
      </c>
      <c r="H606" s="91" t="s">
        <v>2340</v>
      </c>
      <c r="J606" s="201">
        <f>VLOOKUP(A606,MapasEqtos!$B$1:$S$10197,15,FALSE)</f>
        <v>16.95074306414784</v>
      </c>
      <c r="K606" s="201">
        <f>VLOOKUP(A606,MapasEqtos!$B$1:$S$10197,14,FALSE)</f>
        <v>26.314200000000003</v>
      </c>
      <c r="L606" s="201"/>
    </row>
    <row r="607" spans="1:12" x14ac:dyDescent="0.2">
      <c r="A607" s="393" t="s">
        <v>1778</v>
      </c>
      <c r="B607" s="393" t="s">
        <v>2190</v>
      </c>
      <c r="C607" s="93" t="s">
        <v>2</v>
      </c>
      <c r="D607" s="201">
        <f t="shared" si="519"/>
        <v>30.697836822464723</v>
      </c>
      <c r="E607" s="201">
        <f t="shared" si="520"/>
        <v>47.655080055000013</v>
      </c>
      <c r="F607" s="201">
        <f t="shared" si="521"/>
        <v>0</v>
      </c>
      <c r="H607" s="91" t="s">
        <v>2340</v>
      </c>
      <c r="J607" s="201">
        <f>VLOOKUP(A607,MapasEqtos!$B$1:$S$10197,15,FALSE)</f>
        <v>23.943402872213341</v>
      </c>
      <c r="K607" s="201">
        <f>VLOOKUP(A607,MapasEqtos!$B$1:$S$10197,14,FALSE)</f>
        <v>37.169550000000008</v>
      </c>
      <c r="L607" s="201"/>
    </row>
    <row r="608" spans="1:12" x14ac:dyDescent="0.2">
      <c r="A608" s="393" t="s">
        <v>1779</v>
      </c>
      <c r="B608" s="393" t="s">
        <v>2191</v>
      </c>
      <c r="C608" s="93" t="s">
        <v>2</v>
      </c>
      <c r="D608" s="201">
        <f t="shared" si="519"/>
        <v>36.498906265942864</v>
      </c>
      <c r="E608" s="201">
        <f t="shared" si="520"/>
        <v>56.660614560000006</v>
      </c>
      <c r="F608" s="201">
        <f t="shared" si="521"/>
        <v>0</v>
      </c>
      <c r="H608" s="91" t="s">
        <v>2340</v>
      </c>
      <c r="J608" s="201">
        <f>VLOOKUP(A608,MapasEqtos!$B$1:$S$10197,15,FALSE)</f>
        <v>28.468065100961599</v>
      </c>
      <c r="K608" s="201">
        <f>VLOOKUP(A608,MapasEqtos!$B$1:$S$10197,14,FALSE)</f>
        <v>44.193600000000004</v>
      </c>
      <c r="L608" s="201"/>
    </row>
    <row r="609" spans="1:12" x14ac:dyDescent="0.2">
      <c r="A609" s="393" t="s">
        <v>2124</v>
      </c>
      <c r="B609" s="393" t="s">
        <v>2192</v>
      </c>
      <c r="C609" s="93" t="s">
        <v>2</v>
      </c>
      <c r="D609" s="201">
        <f t="shared" ref="D609:D672" si="522">J609*$J$4</f>
        <v>90.192525766042976</v>
      </c>
      <c r="E609" s="201">
        <f t="shared" ref="E609:E672" si="523">K609*$J$4</f>
        <v>140.01416649000004</v>
      </c>
      <c r="F609" s="201">
        <f t="shared" ref="F609:F672" si="524">L609*$J$4</f>
        <v>0</v>
      </c>
      <c r="H609" s="91" t="s">
        <v>2340</v>
      </c>
      <c r="J609" s="201">
        <f>VLOOKUP(A609,MapasEqtos!$B$1:$S$10197,15,FALSE)</f>
        <v>70.347496892631597</v>
      </c>
      <c r="K609" s="201">
        <f>VLOOKUP(A609,MapasEqtos!$B$1:$S$10197,14,FALSE)</f>
        <v>109.20690000000002</v>
      </c>
      <c r="L609" s="201"/>
    </row>
    <row r="610" spans="1:12" x14ac:dyDescent="0.2">
      <c r="A610" s="393" t="s">
        <v>2125</v>
      </c>
      <c r="B610" s="393" t="s">
        <v>2193</v>
      </c>
      <c r="C610" s="93" t="s">
        <v>3</v>
      </c>
      <c r="D610" s="201">
        <f t="shared" si="522"/>
        <v>117.11403696770037</v>
      </c>
      <c r="E610" s="201">
        <f t="shared" si="523"/>
        <v>181.80690840000005</v>
      </c>
      <c r="F610" s="201">
        <f t="shared" si="524"/>
        <v>0</v>
      </c>
      <c r="H610" s="91" t="s">
        <v>2340</v>
      </c>
      <c r="J610" s="201">
        <f>VLOOKUP(A610,MapasEqtos!$B$1:$S$10197,15,FALSE)</f>
        <v>91.34547770665344</v>
      </c>
      <c r="K610" s="201">
        <f>VLOOKUP(A610,MapasEqtos!$B$1:$S$10197,14,FALSE)</f>
        <v>141.80400000000003</v>
      </c>
      <c r="L610" s="201"/>
    </row>
    <row r="611" spans="1:12" x14ac:dyDescent="0.2">
      <c r="A611" s="393" t="s">
        <v>2126</v>
      </c>
      <c r="B611" s="393" t="s">
        <v>2194</v>
      </c>
      <c r="C611" s="93" t="s">
        <v>3</v>
      </c>
      <c r="D611" s="201">
        <f t="shared" si="522"/>
        <v>139.41297774601347</v>
      </c>
      <c r="E611" s="201">
        <f t="shared" si="523"/>
        <v>216.42360840000003</v>
      </c>
      <c r="F611" s="201">
        <f t="shared" si="524"/>
        <v>0</v>
      </c>
      <c r="H611" s="91" t="s">
        <v>2340</v>
      </c>
      <c r="J611" s="201">
        <f>VLOOKUP(A611,MapasEqtos!$B$1:$S$10197,15,FALSE)</f>
        <v>108.73799059824776</v>
      </c>
      <c r="K611" s="201">
        <f>VLOOKUP(A611,MapasEqtos!$B$1:$S$10197,14,FALSE)</f>
        <v>168.80400000000003</v>
      </c>
      <c r="L611" s="201"/>
    </row>
    <row r="612" spans="1:12" x14ac:dyDescent="0.2">
      <c r="A612" s="393" t="s">
        <v>2127</v>
      </c>
      <c r="B612" s="393" t="s">
        <v>2195</v>
      </c>
      <c r="C612" s="93" t="s">
        <v>3</v>
      </c>
      <c r="D612" s="201">
        <f t="shared" si="522"/>
        <v>134.78594753451347</v>
      </c>
      <c r="E612" s="201">
        <f t="shared" si="523"/>
        <v>209.24064315000001</v>
      </c>
      <c r="F612" s="201">
        <f t="shared" si="524"/>
        <v>0</v>
      </c>
      <c r="H612" s="91" t="s">
        <v>2340</v>
      </c>
      <c r="J612" s="201">
        <f>VLOOKUP(A612,MapasEqtos!$B$1:$S$10197,15,FALSE)</f>
        <v>105.12904417324192</v>
      </c>
      <c r="K612" s="201">
        <f>VLOOKUP(A612,MapasEqtos!$B$1:$S$10197,14,FALSE)</f>
        <v>163.20150000000001</v>
      </c>
      <c r="L612" s="201"/>
    </row>
    <row r="613" spans="1:12" x14ac:dyDescent="0.2">
      <c r="A613" s="393" t="s">
        <v>2128</v>
      </c>
      <c r="B613" s="393" t="s">
        <v>2196</v>
      </c>
      <c r="C613" s="93" t="s">
        <v>3</v>
      </c>
      <c r="D613" s="201">
        <f t="shared" si="522"/>
        <v>18.3966261421083</v>
      </c>
      <c r="E613" s="201">
        <f t="shared" si="523"/>
        <v>28.558777500000001</v>
      </c>
      <c r="F613" s="201">
        <f t="shared" si="524"/>
        <v>0</v>
      </c>
      <c r="H613" s="91" t="s">
        <v>2340</v>
      </c>
      <c r="J613" s="201">
        <f>VLOOKUP(A613,MapasEqtos!$B$1:$S$10197,15,FALSE)</f>
        <v>14.348823135565322</v>
      </c>
      <c r="K613" s="201">
        <f>VLOOKUP(A613,MapasEqtos!$B$1:$S$10197,14,FALSE)</f>
        <v>22.275000000000002</v>
      </c>
      <c r="L613" s="201"/>
    </row>
    <row r="614" spans="1:12" x14ac:dyDescent="0.2">
      <c r="A614" s="393" t="s">
        <v>2129</v>
      </c>
      <c r="B614" s="393" t="s">
        <v>450</v>
      </c>
      <c r="C614" s="93" t="s">
        <v>3</v>
      </c>
      <c r="D614" s="201">
        <f t="shared" si="522"/>
        <v>0</v>
      </c>
      <c r="E614" s="201">
        <f t="shared" si="523"/>
        <v>0</v>
      </c>
      <c r="F614" s="201">
        <f t="shared" si="524"/>
        <v>0</v>
      </c>
      <c r="H614" s="91" t="s">
        <v>2340</v>
      </c>
      <c r="J614" s="201">
        <f>VLOOKUP(A614,MapasEqtos!$B$1:$S$10197,15,FALSE)</f>
        <v>0</v>
      </c>
      <c r="K614" s="201">
        <f>VLOOKUP(A614,MapasEqtos!$B$1:$S$10197,14,FALSE)</f>
        <v>0</v>
      </c>
      <c r="L614" s="201"/>
    </row>
    <row r="615" spans="1:12" x14ac:dyDescent="0.2">
      <c r="A615" s="393" t="s">
        <v>2130</v>
      </c>
      <c r="B615" s="393" t="s">
        <v>2197</v>
      </c>
      <c r="C615" s="93" t="s">
        <v>3</v>
      </c>
      <c r="D615" s="201">
        <f t="shared" si="522"/>
        <v>0</v>
      </c>
      <c r="E615" s="201">
        <f t="shared" si="523"/>
        <v>0</v>
      </c>
      <c r="F615" s="201">
        <f t="shared" si="524"/>
        <v>0</v>
      </c>
      <c r="H615" s="91" t="s">
        <v>2340</v>
      </c>
      <c r="J615" s="201">
        <f>VLOOKUP(A615,MapasEqtos!$B$1:$S$10197,15,FALSE)</f>
        <v>0</v>
      </c>
      <c r="K615" s="201">
        <f>VLOOKUP(A615,MapasEqtos!$B$1:$S$10197,14,FALSE)</f>
        <v>0</v>
      </c>
      <c r="L615" s="201"/>
    </row>
    <row r="616" spans="1:12" x14ac:dyDescent="0.2">
      <c r="A616" s="393" t="s">
        <v>2131</v>
      </c>
      <c r="B616" s="393" t="s">
        <v>451</v>
      </c>
      <c r="C616" s="93" t="s">
        <v>3</v>
      </c>
      <c r="D616" s="201">
        <f t="shared" si="522"/>
        <v>6410.5</v>
      </c>
      <c r="E616" s="201">
        <f t="shared" si="523"/>
        <v>107386.71515550002</v>
      </c>
      <c r="F616" s="201">
        <f t="shared" si="524"/>
        <v>0</v>
      </c>
      <c r="H616" s="91" t="s">
        <v>2340</v>
      </c>
      <c r="J616" s="201">
        <f>VLOOKUP(A616,MapasEqtos!$B$1:$S$10197,15,FALSE)</f>
        <v>5000</v>
      </c>
      <c r="K616" s="201">
        <f>VLOOKUP(A616,MapasEqtos!$B$1:$S$10197,14,FALSE)</f>
        <v>83758.455000000016</v>
      </c>
      <c r="L616" s="201"/>
    </row>
    <row r="617" spans="1:12" x14ac:dyDescent="0.2">
      <c r="A617" s="393" t="s">
        <v>2132</v>
      </c>
      <c r="B617" s="393" t="s">
        <v>2198</v>
      </c>
      <c r="C617" s="93" t="s">
        <v>3</v>
      </c>
      <c r="D617" s="201">
        <f t="shared" si="522"/>
        <v>445.9788155662618</v>
      </c>
      <c r="E617" s="201">
        <f t="shared" si="523"/>
        <v>692.33400000000006</v>
      </c>
      <c r="F617" s="201">
        <f t="shared" si="524"/>
        <v>0</v>
      </c>
      <c r="H617" s="91" t="s">
        <v>2340</v>
      </c>
      <c r="J617" s="201">
        <f>VLOOKUP(A617,MapasEqtos!$B$1:$S$10197,15,FALSE)</f>
        <v>347.85025783188661</v>
      </c>
      <c r="K617" s="201">
        <f>VLOOKUP(A617,MapasEqtos!$B$1:$S$10197,14,FALSE)</f>
        <v>540</v>
      </c>
      <c r="L617" s="201"/>
    </row>
    <row r="618" spans="1:12" x14ac:dyDescent="0.2">
      <c r="A618" s="393" t="s">
        <v>2133</v>
      </c>
      <c r="B618" s="393" t="s">
        <v>2199</v>
      </c>
      <c r="C618" s="93" t="s">
        <v>3</v>
      </c>
      <c r="D618" s="201">
        <f t="shared" si="522"/>
        <v>111.49470389156545</v>
      </c>
      <c r="E618" s="201">
        <f t="shared" si="523"/>
        <v>173.08350000000002</v>
      </c>
      <c r="F618" s="201">
        <f t="shared" si="524"/>
        <v>0</v>
      </c>
      <c r="H618" s="91" t="s">
        <v>2340</v>
      </c>
      <c r="J618" s="201">
        <f>VLOOKUP(A618,MapasEqtos!$B$1:$S$10197,15,FALSE)</f>
        <v>86.962564457971652</v>
      </c>
      <c r="K618" s="201">
        <f>VLOOKUP(A618,MapasEqtos!$B$1:$S$10197,14,FALSE)</f>
        <v>135</v>
      </c>
      <c r="L618" s="201"/>
    </row>
    <row r="619" spans="1:12" x14ac:dyDescent="0.2">
      <c r="A619" s="393" t="s">
        <v>2134</v>
      </c>
      <c r="B619" s="393" t="s">
        <v>2200</v>
      </c>
      <c r="C619" s="93" t="s">
        <v>2</v>
      </c>
      <c r="D619" s="201">
        <f t="shared" si="522"/>
        <v>22.039158118245748</v>
      </c>
      <c r="E619" s="201">
        <f t="shared" si="523"/>
        <v>34.213415445000003</v>
      </c>
      <c r="F619" s="201">
        <f t="shared" si="524"/>
        <v>0</v>
      </c>
      <c r="H619" s="91" t="s">
        <v>2340</v>
      </c>
      <c r="J619" s="201">
        <f>VLOOKUP(A619,MapasEqtos!$B$1:$S$10197,15,FALSE)</f>
        <v>17.189890116407259</v>
      </c>
      <c r="K619" s="201">
        <f>VLOOKUP(A619,MapasEqtos!$B$1:$S$10197,14,FALSE)</f>
        <v>26.685450000000003</v>
      </c>
      <c r="L619" s="201"/>
    </row>
    <row r="620" spans="1:12" x14ac:dyDescent="0.2">
      <c r="A620" s="393" t="s">
        <v>2135</v>
      </c>
      <c r="B620" s="393" t="s">
        <v>2201</v>
      </c>
      <c r="C620" s="93" t="s">
        <v>2</v>
      </c>
      <c r="D620" s="201">
        <f t="shared" si="522"/>
        <v>32.745994532952778</v>
      </c>
      <c r="E620" s="201">
        <f t="shared" si="523"/>
        <v>50.834623950000008</v>
      </c>
      <c r="F620" s="201">
        <f t="shared" si="524"/>
        <v>0</v>
      </c>
      <c r="H620" s="91" t="s">
        <v>2340</v>
      </c>
      <c r="J620" s="201">
        <f>VLOOKUP(A620,MapasEqtos!$B$1:$S$10197,15,FALSE)</f>
        <v>25.540905181306279</v>
      </c>
      <c r="K620" s="201">
        <f>VLOOKUP(A620,MapasEqtos!$B$1:$S$10197,14,FALSE)</f>
        <v>39.649500000000003</v>
      </c>
      <c r="L620" s="201"/>
    </row>
    <row r="621" spans="1:12" x14ac:dyDescent="0.2">
      <c r="A621" s="393" t="s">
        <v>2136</v>
      </c>
      <c r="B621" s="393" t="s">
        <v>2202</v>
      </c>
      <c r="C621" s="93" t="s">
        <v>2</v>
      </c>
      <c r="D621" s="201">
        <f t="shared" si="522"/>
        <v>60.156967484694142</v>
      </c>
      <c r="E621" s="201">
        <f t="shared" si="523"/>
        <v>93.387202425000012</v>
      </c>
      <c r="F621" s="201">
        <f t="shared" si="524"/>
        <v>0</v>
      </c>
      <c r="H621" s="91" t="s">
        <v>2340</v>
      </c>
      <c r="J621" s="201">
        <f>VLOOKUP(A621,MapasEqtos!$B$1:$S$10197,15,FALSE)</f>
        <v>46.920651653298606</v>
      </c>
      <c r="K621" s="201">
        <f>VLOOKUP(A621,MapasEqtos!$B$1:$S$10197,14,FALSE)</f>
        <v>72.839250000000007</v>
      </c>
      <c r="L621" s="201"/>
    </row>
    <row r="622" spans="1:12" x14ac:dyDescent="0.2">
      <c r="A622" s="393" t="s">
        <v>2137</v>
      </c>
      <c r="B622" s="393" t="s">
        <v>2203</v>
      </c>
      <c r="C622" s="93" t="s">
        <v>2</v>
      </c>
      <c r="D622" s="201">
        <f t="shared" si="522"/>
        <v>82.73575996977506</v>
      </c>
      <c r="E622" s="201">
        <f t="shared" si="523"/>
        <v>128.43834201000001</v>
      </c>
      <c r="F622" s="201">
        <f t="shared" si="524"/>
        <v>0</v>
      </c>
      <c r="H622" s="91" t="s">
        <v>2340</v>
      </c>
      <c r="J622" s="201">
        <f>VLOOKUP(A622,MapasEqtos!$B$1:$S$10197,15,FALSE)</f>
        <v>64.531440581682446</v>
      </c>
      <c r="K622" s="201">
        <f>VLOOKUP(A622,MapasEqtos!$B$1:$S$10197,14,FALSE)</f>
        <v>100.1781</v>
      </c>
      <c r="L622" s="201"/>
    </row>
    <row r="623" spans="1:12" x14ac:dyDescent="0.2">
      <c r="A623" s="393" t="s">
        <v>2138</v>
      </c>
      <c r="B623" s="393" t="s">
        <v>2204</v>
      </c>
      <c r="C623" s="93" t="s">
        <v>2</v>
      </c>
      <c r="D623" s="201">
        <f t="shared" si="522"/>
        <v>206.53278948873589</v>
      </c>
      <c r="E623" s="201">
        <f t="shared" si="523"/>
        <v>320.61987540000007</v>
      </c>
      <c r="F623" s="201">
        <f t="shared" si="524"/>
        <v>0</v>
      </c>
      <c r="H623" s="91" t="s">
        <v>2340</v>
      </c>
      <c r="J623" s="201">
        <f>VLOOKUP(A623,MapasEqtos!$B$1:$S$10197,15,FALSE)</f>
        <v>161.08945440194671</v>
      </c>
      <c r="K623" s="201">
        <f>VLOOKUP(A623,MapasEqtos!$B$1:$S$10197,14,FALSE)</f>
        <v>250.07400000000007</v>
      </c>
      <c r="L623" s="201"/>
    </row>
    <row r="624" spans="1:12" x14ac:dyDescent="0.2">
      <c r="A624" s="393" t="s">
        <v>2139</v>
      </c>
      <c r="B624" s="393" t="s">
        <v>2205</v>
      </c>
      <c r="C624" s="93" t="s">
        <v>3</v>
      </c>
      <c r="D624" s="201">
        <f t="shared" si="522"/>
        <v>39.156940006717782</v>
      </c>
      <c r="E624" s="201">
        <f t="shared" si="523"/>
        <v>60.786925199999999</v>
      </c>
      <c r="F624" s="201">
        <f t="shared" si="524"/>
        <v>0</v>
      </c>
      <c r="H624" s="91" t="s">
        <v>2340</v>
      </c>
      <c r="J624" s="201">
        <f>VLOOKUP(A624,MapasEqtos!$B$1:$S$10197,15,FALSE)</f>
        <v>30.541252637639641</v>
      </c>
      <c r="K624" s="201">
        <f>VLOOKUP(A624,MapasEqtos!$B$1:$S$10197,14,FALSE)</f>
        <v>47.411999999999999</v>
      </c>
      <c r="L624" s="201"/>
    </row>
    <row r="625" spans="1:12" x14ac:dyDescent="0.2">
      <c r="A625" s="393" t="s">
        <v>2140</v>
      </c>
      <c r="B625" s="393" t="s">
        <v>2206</v>
      </c>
      <c r="C625" s="93" t="s">
        <v>3</v>
      </c>
      <c r="D625" s="201">
        <f t="shared" si="522"/>
        <v>0</v>
      </c>
      <c r="E625" s="201">
        <f t="shared" si="523"/>
        <v>0</v>
      </c>
      <c r="F625" s="201">
        <f t="shared" si="524"/>
        <v>0</v>
      </c>
      <c r="H625" s="91" t="s">
        <v>2340</v>
      </c>
      <c r="J625" s="201">
        <f>VLOOKUP(A625,MapasEqtos!$B$1:$S$10197,15,FALSE)</f>
        <v>0</v>
      </c>
      <c r="K625" s="201">
        <f>VLOOKUP(A625,MapasEqtos!$B$1:$S$10197,14,FALSE)</f>
        <v>0</v>
      </c>
      <c r="L625" s="201"/>
    </row>
    <row r="626" spans="1:12" x14ac:dyDescent="0.2">
      <c r="A626" s="393" t="s">
        <v>2141</v>
      </c>
      <c r="B626" s="393" t="s">
        <v>2207</v>
      </c>
      <c r="C626" s="93" t="s">
        <v>3</v>
      </c>
      <c r="D626" s="201">
        <f t="shared" si="522"/>
        <v>0</v>
      </c>
      <c r="E626" s="201">
        <f t="shared" si="523"/>
        <v>0</v>
      </c>
      <c r="F626" s="201">
        <f t="shared" si="524"/>
        <v>0</v>
      </c>
      <c r="H626" s="91" t="s">
        <v>2340</v>
      </c>
      <c r="J626" s="201">
        <f>VLOOKUP(A626,MapasEqtos!$B$1:$S$10197,15,FALSE)</f>
        <v>0</v>
      </c>
      <c r="K626" s="201">
        <f>VLOOKUP(A626,MapasEqtos!$B$1:$S$10197,14,FALSE)</f>
        <v>0</v>
      </c>
      <c r="L626" s="201"/>
    </row>
    <row r="627" spans="1:12" x14ac:dyDescent="0.2">
      <c r="A627" s="393" t="s">
        <v>2142</v>
      </c>
      <c r="B627" s="393" t="s">
        <v>2188</v>
      </c>
      <c r="C627" s="93" t="s">
        <v>2</v>
      </c>
      <c r="D627" s="201">
        <f t="shared" si="522"/>
        <v>8.4992412776540345</v>
      </c>
      <c r="E627" s="201">
        <f t="shared" si="523"/>
        <v>13.194155205000003</v>
      </c>
      <c r="F627" s="201">
        <f t="shared" si="524"/>
        <v>0</v>
      </c>
      <c r="H627" s="91" t="s">
        <v>2340</v>
      </c>
      <c r="J627" s="201">
        <f>VLOOKUP(A627,MapasEqtos!$B$1:$S$10197,15,FALSE)</f>
        <v>6.6291562886311795</v>
      </c>
      <c r="K627" s="201">
        <f>VLOOKUP(A627,MapasEqtos!$B$1:$S$10197,14,FALSE)</f>
        <v>10.291050000000002</v>
      </c>
      <c r="L627" s="201"/>
    </row>
    <row r="628" spans="1:12" x14ac:dyDescent="0.2">
      <c r="A628" s="393" t="s">
        <v>2143</v>
      </c>
      <c r="B628" s="393" t="s">
        <v>2189</v>
      </c>
      <c r="C628" s="93" t="s">
        <v>2</v>
      </c>
      <c r="D628" s="201">
        <f t="shared" si="522"/>
        <v>21.732547682543942</v>
      </c>
      <c r="E628" s="201">
        <f t="shared" si="523"/>
        <v>33.737435820000002</v>
      </c>
      <c r="F628" s="201">
        <f t="shared" si="524"/>
        <v>0</v>
      </c>
      <c r="H628" s="91" t="s">
        <v>2340</v>
      </c>
      <c r="J628" s="201">
        <f>VLOOKUP(A628,MapasEqtos!$B$1:$S$10197,15,FALSE)</f>
        <v>16.950743064147836</v>
      </c>
      <c r="K628" s="201">
        <f>VLOOKUP(A628,MapasEqtos!$B$1:$S$10197,14,FALSE)</f>
        <v>26.314200000000003</v>
      </c>
      <c r="L628" s="201"/>
    </row>
    <row r="629" spans="1:12" x14ac:dyDescent="0.2">
      <c r="A629" s="393" t="s">
        <v>2144</v>
      </c>
      <c r="B629" s="393" t="s">
        <v>2208</v>
      </c>
      <c r="C629" s="93" t="s">
        <v>2</v>
      </c>
      <c r="D629" s="201">
        <f t="shared" si="522"/>
        <v>22.039158118245748</v>
      </c>
      <c r="E629" s="201">
        <f t="shared" si="523"/>
        <v>34.213415445000003</v>
      </c>
      <c r="F629" s="201">
        <f t="shared" si="524"/>
        <v>0</v>
      </c>
      <c r="H629" s="91" t="s">
        <v>2340</v>
      </c>
      <c r="J629" s="201">
        <f>VLOOKUP(A629,MapasEqtos!$B$1:$S$10197,15,FALSE)</f>
        <v>17.189890116407259</v>
      </c>
      <c r="K629" s="201">
        <f>VLOOKUP(A629,MapasEqtos!$B$1:$S$10197,14,FALSE)</f>
        <v>26.685450000000003</v>
      </c>
      <c r="L629" s="201"/>
    </row>
    <row r="630" spans="1:12" x14ac:dyDescent="0.2">
      <c r="A630" s="393" t="s">
        <v>2145</v>
      </c>
      <c r="B630" s="393" t="s">
        <v>2192</v>
      </c>
      <c r="C630" s="93" t="s">
        <v>2</v>
      </c>
      <c r="D630" s="201">
        <f t="shared" si="522"/>
        <v>90.192525766042948</v>
      </c>
      <c r="E630" s="201">
        <f t="shared" si="523"/>
        <v>140.01416649000004</v>
      </c>
      <c r="F630" s="201">
        <f t="shared" si="524"/>
        <v>0</v>
      </c>
      <c r="H630" s="91" t="s">
        <v>2340</v>
      </c>
      <c r="J630" s="201">
        <f>VLOOKUP(A630,MapasEqtos!$B$1:$S$10197,15,FALSE)</f>
        <v>70.347496892631582</v>
      </c>
      <c r="K630" s="201">
        <f>VLOOKUP(A630,MapasEqtos!$B$1:$S$10197,14,FALSE)</f>
        <v>109.20690000000002</v>
      </c>
      <c r="L630" s="201"/>
    </row>
    <row r="631" spans="1:12" x14ac:dyDescent="0.2">
      <c r="A631" s="393" t="s">
        <v>2146</v>
      </c>
      <c r="B631" s="393" t="s">
        <v>2209</v>
      </c>
      <c r="C631" s="93" t="s">
        <v>2</v>
      </c>
      <c r="D631" s="201">
        <f t="shared" si="522"/>
        <v>60.156967484694142</v>
      </c>
      <c r="E631" s="201">
        <f t="shared" si="523"/>
        <v>93.387202425000012</v>
      </c>
      <c r="F631" s="201">
        <f t="shared" si="524"/>
        <v>0</v>
      </c>
      <c r="H631" s="91" t="s">
        <v>2340</v>
      </c>
      <c r="J631" s="201">
        <f>VLOOKUP(A631,MapasEqtos!$B$1:$S$10197,15,FALSE)</f>
        <v>46.920651653298606</v>
      </c>
      <c r="K631" s="201">
        <f>VLOOKUP(A631,MapasEqtos!$B$1:$S$10197,14,FALSE)</f>
        <v>72.839250000000007</v>
      </c>
      <c r="L631" s="201"/>
    </row>
    <row r="632" spans="1:12" x14ac:dyDescent="0.2">
      <c r="A632" s="393" t="s">
        <v>2147</v>
      </c>
      <c r="B632" s="393" t="s">
        <v>2210</v>
      </c>
      <c r="C632" s="93" t="s">
        <v>2</v>
      </c>
      <c r="D632" s="201">
        <f t="shared" si="522"/>
        <v>82.73575996977506</v>
      </c>
      <c r="E632" s="201">
        <f t="shared" si="523"/>
        <v>128.43834201000001</v>
      </c>
      <c r="F632" s="201">
        <f t="shared" si="524"/>
        <v>0</v>
      </c>
      <c r="H632" s="91" t="s">
        <v>2340</v>
      </c>
      <c r="J632" s="201">
        <f>VLOOKUP(A632,MapasEqtos!$B$1:$S$10197,15,FALSE)</f>
        <v>64.531440581682446</v>
      </c>
      <c r="K632" s="201">
        <f>VLOOKUP(A632,MapasEqtos!$B$1:$S$10197,14,FALSE)</f>
        <v>100.1781</v>
      </c>
      <c r="L632" s="201"/>
    </row>
    <row r="633" spans="1:12" x14ac:dyDescent="0.2">
      <c r="A633" s="393" t="s">
        <v>2148</v>
      </c>
      <c r="B633" s="393" t="s">
        <v>2211</v>
      </c>
      <c r="C633" s="93" t="s">
        <v>2</v>
      </c>
      <c r="D633" s="201">
        <f t="shared" si="522"/>
        <v>206.53278948873592</v>
      </c>
      <c r="E633" s="201">
        <f t="shared" si="523"/>
        <v>320.61987540000007</v>
      </c>
      <c r="F633" s="201">
        <f t="shared" si="524"/>
        <v>0</v>
      </c>
      <c r="H633" s="91" t="s">
        <v>2340</v>
      </c>
      <c r="J633" s="201">
        <f>VLOOKUP(A633,MapasEqtos!$B$1:$S$10197,15,FALSE)</f>
        <v>161.08945440194674</v>
      </c>
      <c r="K633" s="201">
        <f>VLOOKUP(A633,MapasEqtos!$B$1:$S$10197,14,FALSE)</f>
        <v>250.07400000000007</v>
      </c>
      <c r="L633" s="201"/>
    </row>
    <row r="634" spans="1:12" x14ac:dyDescent="0.2">
      <c r="A634" s="393" t="s">
        <v>2149</v>
      </c>
      <c r="B634" s="393" t="s">
        <v>2212</v>
      </c>
      <c r="C634" s="93" t="s">
        <v>2</v>
      </c>
      <c r="D634" s="201">
        <f t="shared" si="522"/>
        <v>432.92167079352066</v>
      </c>
      <c r="E634" s="201">
        <f t="shared" si="523"/>
        <v>672.06419131500013</v>
      </c>
      <c r="F634" s="201">
        <f t="shared" si="524"/>
        <v>0</v>
      </c>
      <c r="H634" s="91" t="s">
        <v>2340</v>
      </c>
      <c r="J634" s="201">
        <f>VLOOKUP(A634,MapasEqtos!$B$1:$S$10197,15,FALSE)</f>
        <v>337.66607190821361</v>
      </c>
      <c r="K634" s="201">
        <f>VLOOKUP(A634,MapasEqtos!$B$1:$S$10197,14,FALSE)</f>
        <v>524.19015000000013</v>
      </c>
      <c r="L634" s="201"/>
    </row>
    <row r="635" spans="1:12" x14ac:dyDescent="0.2">
      <c r="A635" s="393" t="s">
        <v>2150</v>
      </c>
      <c r="B635" s="393" t="s">
        <v>2213</v>
      </c>
      <c r="C635" s="93" t="s">
        <v>2</v>
      </c>
      <c r="D635" s="201">
        <f t="shared" si="522"/>
        <v>986.29218514813829</v>
      </c>
      <c r="E635" s="201">
        <f t="shared" si="523"/>
        <v>1531.112218515</v>
      </c>
      <c r="F635" s="201">
        <f t="shared" si="524"/>
        <v>0</v>
      </c>
      <c r="H635" s="91" t="s">
        <v>2340</v>
      </c>
      <c r="J635" s="201">
        <f>VLOOKUP(A635,MapasEqtos!$B$1:$S$10197,15,FALSE)</f>
        <v>769.27867182601847</v>
      </c>
      <c r="K635" s="201">
        <f>VLOOKUP(A635,MapasEqtos!$B$1:$S$10197,14,FALSE)</f>
        <v>1194.2221500000001</v>
      </c>
      <c r="L635" s="201"/>
    </row>
    <row r="636" spans="1:12" x14ac:dyDescent="0.2">
      <c r="A636" s="393" t="s">
        <v>2151</v>
      </c>
      <c r="B636" s="393" t="s">
        <v>456</v>
      </c>
      <c r="C636" s="93" t="s">
        <v>3</v>
      </c>
      <c r="D636" s="201">
        <f t="shared" si="522"/>
        <v>9.9676265279059511</v>
      </c>
      <c r="E636" s="201">
        <f t="shared" si="523"/>
        <v>15.473664900000001</v>
      </c>
      <c r="F636" s="201">
        <f t="shared" si="524"/>
        <v>0</v>
      </c>
      <c r="H636" s="91" t="s">
        <v>2340</v>
      </c>
      <c r="J636" s="201">
        <f>VLOOKUP(A636,MapasEqtos!$B$1:$S$10197,15,FALSE)</f>
        <v>7.7744532625426652</v>
      </c>
      <c r="K636" s="201">
        <f>VLOOKUP(A636,MapasEqtos!$B$1:$S$10197,14,FALSE)</f>
        <v>12.069000000000001</v>
      </c>
      <c r="L636" s="201"/>
    </row>
    <row r="637" spans="1:12" x14ac:dyDescent="0.2">
      <c r="A637" s="393" t="s">
        <v>2152</v>
      </c>
      <c r="B637" s="393" t="s">
        <v>2214</v>
      </c>
      <c r="C637" s="93" t="s">
        <v>3</v>
      </c>
      <c r="D637" s="201">
        <f t="shared" si="522"/>
        <v>13.702699108273395</v>
      </c>
      <c r="E637" s="201">
        <f t="shared" si="523"/>
        <v>21.27196215</v>
      </c>
      <c r="F637" s="201">
        <f t="shared" si="524"/>
        <v>0</v>
      </c>
      <c r="H637" s="91" t="s">
        <v>2340</v>
      </c>
      <c r="J637" s="201">
        <f>VLOOKUP(A637,MapasEqtos!$B$1:$S$10197,15,FALSE)</f>
        <v>10.687699171884717</v>
      </c>
      <c r="K637" s="201">
        <f>VLOOKUP(A637,MapasEqtos!$B$1:$S$10197,14,FALSE)</f>
        <v>16.5915</v>
      </c>
      <c r="L637" s="201"/>
    </row>
    <row r="638" spans="1:12" x14ac:dyDescent="0.2">
      <c r="A638" s="393" t="s">
        <v>2153</v>
      </c>
      <c r="B638" s="393" t="s">
        <v>457</v>
      </c>
      <c r="C638" s="93" t="s">
        <v>3</v>
      </c>
      <c r="D638" s="201">
        <f t="shared" si="522"/>
        <v>0</v>
      </c>
      <c r="E638" s="201">
        <f t="shared" si="523"/>
        <v>0</v>
      </c>
      <c r="F638" s="201">
        <f t="shared" si="524"/>
        <v>0</v>
      </c>
      <c r="H638" s="91" t="s">
        <v>2340</v>
      </c>
      <c r="J638" s="201">
        <f>VLOOKUP(A638,MapasEqtos!$B$1:$S$10197,15,FALSE)</f>
        <v>0</v>
      </c>
      <c r="K638" s="201">
        <f>VLOOKUP(A638,MapasEqtos!$B$1:$S$10197,14,FALSE)</f>
        <v>0</v>
      </c>
      <c r="L638" s="201"/>
    </row>
    <row r="639" spans="1:12" x14ac:dyDescent="0.2">
      <c r="A639" s="393" t="s">
        <v>2154</v>
      </c>
      <c r="B639" s="393" t="s">
        <v>2215</v>
      </c>
      <c r="C639" s="93" t="s">
        <v>3</v>
      </c>
      <c r="D639" s="201">
        <f t="shared" si="522"/>
        <v>0</v>
      </c>
      <c r="E639" s="201">
        <f t="shared" si="523"/>
        <v>0</v>
      </c>
      <c r="F639" s="201">
        <f t="shared" si="524"/>
        <v>0</v>
      </c>
      <c r="H639" s="91" t="s">
        <v>2340</v>
      </c>
      <c r="J639" s="201">
        <f>VLOOKUP(A639,MapasEqtos!$B$1:$S$10197,15,FALSE)</f>
        <v>0</v>
      </c>
      <c r="K639" s="201">
        <f>VLOOKUP(A639,MapasEqtos!$B$1:$S$10197,14,FALSE)</f>
        <v>0</v>
      </c>
      <c r="L639" s="201"/>
    </row>
    <row r="640" spans="1:12" x14ac:dyDescent="0.2">
      <c r="A640" s="393" t="s">
        <v>2155</v>
      </c>
      <c r="B640" s="393" t="s">
        <v>2216</v>
      </c>
      <c r="C640" s="93" t="s">
        <v>3</v>
      </c>
      <c r="D640" s="201">
        <f t="shared" si="522"/>
        <v>0</v>
      </c>
      <c r="E640" s="201">
        <f t="shared" si="523"/>
        <v>0</v>
      </c>
      <c r="F640" s="201">
        <f t="shared" si="524"/>
        <v>0</v>
      </c>
      <c r="H640" s="91" t="s">
        <v>2340</v>
      </c>
      <c r="J640" s="201">
        <f>VLOOKUP(A640,MapasEqtos!$B$1:$S$10197,15,FALSE)</f>
        <v>0</v>
      </c>
      <c r="K640" s="201">
        <f>VLOOKUP(A640,MapasEqtos!$B$1:$S$10197,14,FALSE)</f>
        <v>0</v>
      </c>
      <c r="L640" s="201"/>
    </row>
    <row r="641" spans="1:12" x14ac:dyDescent="0.2">
      <c r="A641" s="393" t="s">
        <v>2156</v>
      </c>
      <c r="B641" s="393" t="s">
        <v>2217</v>
      </c>
      <c r="C641" s="93" t="s">
        <v>3</v>
      </c>
      <c r="D641" s="201">
        <f t="shared" si="522"/>
        <v>0</v>
      </c>
      <c r="E641" s="201">
        <f t="shared" si="523"/>
        <v>0</v>
      </c>
      <c r="F641" s="201">
        <f t="shared" si="524"/>
        <v>0</v>
      </c>
      <c r="H641" s="91" t="s">
        <v>2340</v>
      </c>
      <c r="J641" s="201">
        <f>VLOOKUP(A641,MapasEqtos!$B$1:$S$10197,15,FALSE)</f>
        <v>0</v>
      </c>
      <c r="K641" s="201">
        <f>VLOOKUP(A641,MapasEqtos!$B$1:$S$10197,14,FALSE)</f>
        <v>0</v>
      </c>
      <c r="L641" s="201"/>
    </row>
    <row r="642" spans="1:12" x14ac:dyDescent="0.2">
      <c r="A642" s="393" t="s">
        <v>2157</v>
      </c>
      <c r="B642" s="393" t="s">
        <v>458</v>
      </c>
      <c r="C642" s="93" t="s">
        <v>3</v>
      </c>
      <c r="D642" s="201">
        <f t="shared" si="522"/>
        <v>0</v>
      </c>
      <c r="E642" s="201">
        <f t="shared" si="523"/>
        <v>0</v>
      </c>
      <c r="F642" s="201">
        <f t="shared" si="524"/>
        <v>0</v>
      </c>
      <c r="H642" s="91" t="s">
        <v>2340</v>
      </c>
      <c r="J642" s="201">
        <f>VLOOKUP(A642,MapasEqtos!$B$1:$S$10197,15,FALSE)</f>
        <v>0</v>
      </c>
      <c r="K642" s="201">
        <f>VLOOKUP(A642,MapasEqtos!$B$1:$S$10197,14,FALSE)</f>
        <v>0</v>
      </c>
      <c r="L642" s="201"/>
    </row>
    <row r="643" spans="1:12" x14ac:dyDescent="0.2">
      <c r="A643" s="393" t="s">
        <v>2158</v>
      </c>
      <c r="B643" s="393" t="s">
        <v>459</v>
      </c>
      <c r="C643" s="93" t="s">
        <v>3</v>
      </c>
      <c r="D643" s="201">
        <f t="shared" si="522"/>
        <v>6410.5</v>
      </c>
      <c r="E643" s="201">
        <f t="shared" si="523"/>
        <v>107386.71515550002</v>
      </c>
      <c r="F643" s="201">
        <f t="shared" si="524"/>
        <v>0</v>
      </c>
      <c r="H643" s="91" t="s">
        <v>2340</v>
      </c>
      <c r="J643" s="201">
        <f>VLOOKUP(A643,MapasEqtos!$B$1:$S$10197,15,FALSE)</f>
        <v>5000</v>
      </c>
      <c r="K643" s="201">
        <f>VLOOKUP(A643,MapasEqtos!$B$1:$S$10197,14,FALSE)</f>
        <v>83758.455000000016</v>
      </c>
      <c r="L643" s="201"/>
    </row>
    <row r="644" spans="1:12" x14ac:dyDescent="0.2">
      <c r="A644" s="393" t="s">
        <v>2159</v>
      </c>
      <c r="B644" s="393" t="s">
        <v>460</v>
      </c>
      <c r="C644" s="93" t="s">
        <v>3</v>
      </c>
      <c r="D644" s="201">
        <f t="shared" si="522"/>
        <v>0</v>
      </c>
      <c r="E644" s="201">
        <f t="shared" si="523"/>
        <v>0</v>
      </c>
      <c r="F644" s="201">
        <f t="shared" si="524"/>
        <v>0</v>
      </c>
      <c r="H644" s="91" t="s">
        <v>2340</v>
      </c>
      <c r="J644" s="201">
        <f>VLOOKUP(A644,MapasEqtos!$B$1:$S$10197,15,FALSE)</f>
        <v>0</v>
      </c>
      <c r="K644" s="201">
        <f>VLOOKUP(A644,MapasEqtos!$B$1:$S$10197,14,FALSE)</f>
        <v>0</v>
      </c>
      <c r="L644" s="201"/>
    </row>
    <row r="645" spans="1:12" x14ac:dyDescent="0.2">
      <c r="A645" s="393" t="s">
        <v>2160</v>
      </c>
      <c r="B645" s="393" t="s">
        <v>461</v>
      </c>
      <c r="C645" s="93" t="s">
        <v>3</v>
      </c>
      <c r="D645" s="201">
        <f t="shared" si="522"/>
        <v>579.63741000000005</v>
      </c>
      <c r="E645" s="201">
        <f t="shared" si="523"/>
        <v>1854.30123</v>
      </c>
      <c r="F645" s="201">
        <f t="shared" si="524"/>
        <v>0</v>
      </c>
      <c r="H645" s="91" t="s">
        <v>2340</v>
      </c>
      <c r="J645" s="201">
        <f>VLOOKUP(A645,MapasEqtos!$B$1:$S$10197,15,FALSE)</f>
        <v>452.1</v>
      </c>
      <c r="K645" s="201">
        <f>VLOOKUP(A645,MapasEqtos!$B$1:$S$10197,14,FALSE)</f>
        <v>1446.3</v>
      </c>
      <c r="L645" s="201"/>
    </row>
    <row r="646" spans="1:12" x14ac:dyDescent="0.2">
      <c r="A646" s="393" t="s">
        <v>2161</v>
      </c>
      <c r="B646" s="393" t="s">
        <v>462</v>
      </c>
      <c r="C646" s="93" t="s">
        <v>3</v>
      </c>
      <c r="D646" s="201">
        <f t="shared" si="522"/>
        <v>3205.25</v>
      </c>
      <c r="E646" s="201">
        <f t="shared" si="523"/>
        <v>4846.3380000000006</v>
      </c>
      <c r="F646" s="201">
        <f t="shared" si="524"/>
        <v>0</v>
      </c>
      <c r="H646" s="91" t="s">
        <v>2340</v>
      </c>
      <c r="J646" s="201">
        <f>VLOOKUP(A646,MapasEqtos!$B$1:$S$10197,15,FALSE)</f>
        <v>2500</v>
      </c>
      <c r="K646" s="201">
        <f>VLOOKUP(A646,MapasEqtos!$B$1:$S$10197,14,FALSE)</f>
        <v>3780.0000000000005</v>
      </c>
      <c r="L646" s="201"/>
    </row>
    <row r="647" spans="1:12" x14ac:dyDescent="0.2">
      <c r="A647" s="393" t="s">
        <v>2162</v>
      </c>
      <c r="B647" s="393" t="s">
        <v>2218</v>
      </c>
      <c r="C647" s="93" t="s">
        <v>2219</v>
      </c>
      <c r="D647" s="201">
        <f t="shared" si="522"/>
        <v>37.811570579759561</v>
      </c>
      <c r="E647" s="201">
        <f t="shared" si="523"/>
        <v>58.698384300000001</v>
      </c>
      <c r="F647" s="201">
        <f t="shared" si="524"/>
        <v>0</v>
      </c>
      <c r="H647" s="91" t="s">
        <v>2340</v>
      </c>
      <c r="J647" s="201">
        <f>VLOOKUP(A647,MapasEqtos!$B$1:$S$10197,15,FALSE)</f>
        <v>29.491904359846785</v>
      </c>
      <c r="K647" s="201">
        <f>VLOOKUP(A647,MapasEqtos!$B$1:$S$10197,14,FALSE)</f>
        <v>45.783000000000001</v>
      </c>
      <c r="L647" s="201"/>
    </row>
    <row r="648" spans="1:12" x14ac:dyDescent="0.2">
      <c r="A648" s="393" t="s">
        <v>2163</v>
      </c>
      <c r="B648" s="393" t="s">
        <v>2220</v>
      </c>
      <c r="C648" s="93" t="s">
        <v>2</v>
      </c>
      <c r="D648" s="201">
        <f t="shared" si="522"/>
        <v>271.85307671064845</v>
      </c>
      <c r="E648" s="201">
        <f t="shared" si="523"/>
        <v>422.02257471000007</v>
      </c>
      <c r="F648" s="201">
        <f t="shared" si="524"/>
        <v>0</v>
      </c>
      <c r="H648" s="91" t="s">
        <v>2340</v>
      </c>
      <c r="J648" s="201">
        <f>VLOOKUP(A648,MapasEqtos!$B$1:$S$10197,15,FALSE)</f>
        <v>212.03734241529401</v>
      </c>
      <c r="K648" s="201">
        <f>VLOOKUP(A648,MapasEqtos!$B$1:$S$10197,14,FALSE)</f>
        <v>329.16510000000005</v>
      </c>
      <c r="L648" s="201"/>
    </row>
    <row r="649" spans="1:12" x14ac:dyDescent="0.2">
      <c r="A649" s="393" t="s">
        <v>2164</v>
      </c>
      <c r="B649" s="393" t="s">
        <v>2221</v>
      </c>
      <c r="C649" s="93" t="s">
        <v>2</v>
      </c>
      <c r="D649" s="201">
        <f t="shared" si="522"/>
        <v>441.42091207117466</v>
      </c>
      <c r="E649" s="201">
        <f t="shared" si="523"/>
        <v>685.25834652000003</v>
      </c>
      <c r="F649" s="201">
        <f t="shared" si="524"/>
        <v>0</v>
      </c>
      <c r="H649" s="91" t="s">
        <v>2340</v>
      </c>
      <c r="J649" s="201">
        <f>VLOOKUP(A649,MapasEqtos!$B$1:$S$10197,15,FALSE)</f>
        <v>344.29522819684473</v>
      </c>
      <c r="K649" s="201">
        <f>VLOOKUP(A649,MapasEqtos!$B$1:$S$10197,14,FALSE)</f>
        <v>534.48120000000006</v>
      </c>
      <c r="L649" s="201"/>
    </row>
    <row r="650" spans="1:12" x14ac:dyDescent="0.2">
      <c r="A650" s="393" t="s">
        <v>2165</v>
      </c>
      <c r="B650" s="393" t="s">
        <v>2222</v>
      </c>
      <c r="C650" s="93" t="s">
        <v>2</v>
      </c>
      <c r="D650" s="201">
        <f t="shared" si="522"/>
        <v>576.73422955509534</v>
      </c>
      <c r="E650" s="201">
        <f t="shared" si="523"/>
        <v>895.31767462500022</v>
      </c>
      <c r="F650" s="201">
        <f t="shared" si="524"/>
        <v>0</v>
      </c>
      <c r="H650" s="91" t="s">
        <v>2340</v>
      </c>
      <c r="J650" s="201">
        <f>VLOOKUP(A650,MapasEqtos!$B$1:$S$10197,15,FALSE)</f>
        <v>449.835605299973</v>
      </c>
      <c r="K650" s="201">
        <f>VLOOKUP(A650,MapasEqtos!$B$1:$S$10197,14,FALSE)</f>
        <v>698.32125000000019</v>
      </c>
      <c r="L650" s="201"/>
    </row>
    <row r="651" spans="1:12" x14ac:dyDescent="0.2">
      <c r="A651" s="393" t="s">
        <v>2166</v>
      </c>
      <c r="B651" s="393" t="s">
        <v>464</v>
      </c>
      <c r="C651" s="93" t="s">
        <v>2311</v>
      </c>
      <c r="D651" s="201">
        <f t="shared" si="522"/>
        <v>783.50413100000003</v>
      </c>
      <c r="E651" s="201">
        <f t="shared" si="523"/>
        <v>7051.55</v>
      </c>
      <c r="F651" s="201">
        <f t="shared" si="524"/>
        <v>0</v>
      </c>
      <c r="H651" s="91" t="s">
        <v>2340</v>
      </c>
      <c r="J651" s="201">
        <f>Mapas!P678</f>
        <v>611.11</v>
      </c>
      <c r="K651" s="201">
        <f>Mapas!Q678</f>
        <v>5500</v>
      </c>
      <c r="L651" s="201"/>
    </row>
    <row r="652" spans="1:12" x14ac:dyDescent="0.2">
      <c r="A652" s="393" t="s">
        <v>2167</v>
      </c>
      <c r="B652" s="393" t="s">
        <v>2310</v>
      </c>
      <c r="C652" s="93" t="s">
        <v>23</v>
      </c>
      <c r="D652" s="201">
        <f t="shared" si="522"/>
        <v>1175.2626069999999</v>
      </c>
      <c r="E652" s="201">
        <f t="shared" si="523"/>
        <v>12821</v>
      </c>
      <c r="F652" s="201">
        <f t="shared" si="524"/>
        <v>0</v>
      </c>
      <c r="H652" s="91" t="s">
        <v>2340</v>
      </c>
      <c r="J652" s="201">
        <f>Mapas!P679</f>
        <v>916.67</v>
      </c>
      <c r="K652" s="201">
        <f>Mapas!Q679</f>
        <v>10000</v>
      </c>
      <c r="L652" s="201"/>
    </row>
    <row r="653" spans="1:12" x14ac:dyDescent="0.2">
      <c r="A653" s="393" t="s">
        <v>2168</v>
      </c>
      <c r="B653" s="393" t="s">
        <v>465</v>
      </c>
      <c r="C653" s="93" t="s">
        <v>3</v>
      </c>
      <c r="D653" s="201">
        <f t="shared" si="522"/>
        <v>7051.55</v>
      </c>
      <c r="E653" s="201">
        <f t="shared" si="523"/>
        <v>19231.5</v>
      </c>
      <c r="F653" s="201">
        <f t="shared" si="524"/>
        <v>0</v>
      </c>
      <c r="H653" s="91" t="s">
        <v>2340</v>
      </c>
      <c r="J653" s="201">
        <f>Mapas!P680</f>
        <v>5500</v>
      </c>
      <c r="K653" s="201">
        <f>Mapas!Q680</f>
        <v>15000</v>
      </c>
      <c r="L653" s="201"/>
    </row>
    <row r="654" spans="1:12" x14ac:dyDescent="0.2">
      <c r="A654" s="393" t="s">
        <v>2169</v>
      </c>
      <c r="B654" s="393" t="s">
        <v>466</v>
      </c>
      <c r="C654" s="93" t="s">
        <v>3</v>
      </c>
      <c r="D654" s="201">
        <f t="shared" si="522"/>
        <v>7051.55</v>
      </c>
      <c r="E654" s="201">
        <f t="shared" si="523"/>
        <v>19231.5</v>
      </c>
      <c r="F654" s="201">
        <f t="shared" si="524"/>
        <v>0</v>
      </c>
      <c r="H654" s="91" t="s">
        <v>2340</v>
      </c>
      <c r="J654" s="201">
        <f>Mapas!P681</f>
        <v>5500</v>
      </c>
      <c r="K654" s="201">
        <f>Mapas!Q681</f>
        <v>15000</v>
      </c>
      <c r="L654" s="201"/>
    </row>
    <row r="655" spans="1:12" x14ac:dyDescent="0.2">
      <c r="A655" s="393" t="s">
        <v>2170</v>
      </c>
      <c r="B655" s="393" t="s">
        <v>467</v>
      </c>
      <c r="C655" s="93" t="s">
        <v>3</v>
      </c>
      <c r="D655" s="201">
        <f t="shared" si="522"/>
        <v>7051.55</v>
      </c>
      <c r="E655" s="201">
        <f t="shared" si="523"/>
        <v>19231.5</v>
      </c>
      <c r="F655" s="201">
        <f t="shared" si="524"/>
        <v>0</v>
      </c>
      <c r="H655" s="91" t="s">
        <v>2340</v>
      </c>
      <c r="J655" s="201">
        <f>Mapas!P682</f>
        <v>5500</v>
      </c>
      <c r="K655" s="201">
        <f>Mapas!Q682</f>
        <v>15000</v>
      </c>
      <c r="L655" s="201"/>
    </row>
    <row r="656" spans="1:12" x14ac:dyDescent="0.2">
      <c r="A656" s="393" t="s">
        <v>2171</v>
      </c>
      <c r="B656" s="393" t="s">
        <v>468</v>
      </c>
      <c r="C656" s="93" t="s">
        <v>3</v>
      </c>
      <c r="D656" s="201">
        <f t="shared" si="522"/>
        <v>7051.55</v>
      </c>
      <c r="E656" s="201">
        <f t="shared" si="523"/>
        <v>38463</v>
      </c>
      <c r="F656" s="201">
        <f t="shared" si="524"/>
        <v>0</v>
      </c>
      <c r="H656" s="91" t="s">
        <v>2340</v>
      </c>
      <c r="J656" s="201">
        <f>Mapas!P683</f>
        <v>5500</v>
      </c>
      <c r="K656" s="201">
        <f>Mapas!Q683</f>
        <v>30000</v>
      </c>
      <c r="L656" s="201"/>
    </row>
    <row r="657" spans="1:12" x14ac:dyDescent="0.2">
      <c r="A657" s="393" t="s">
        <v>2172</v>
      </c>
      <c r="B657" s="393" t="s">
        <v>2223</v>
      </c>
      <c r="C657" s="93" t="s">
        <v>2</v>
      </c>
      <c r="D657" s="201">
        <f t="shared" si="522"/>
        <v>378.34501323859939</v>
      </c>
      <c r="E657" s="201">
        <f t="shared" si="523"/>
        <v>587.33981806500014</v>
      </c>
      <c r="F657" s="201">
        <f t="shared" si="524"/>
        <v>0</v>
      </c>
      <c r="H657" s="91" t="s">
        <v>2340</v>
      </c>
      <c r="J657" s="201">
        <f>VLOOKUP(A657,MapasEqtos!$B$1:$S$10197,15,FALSE)</f>
        <v>295.0978966060365</v>
      </c>
      <c r="K657" s="201">
        <f>VLOOKUP(A657,MapasEqtos!$B$1:$S$10197,14,FALSE)</f>
        <v>458.10765000000009</v>
      </c>
      <c r="L657" s="201"/>
    </row>
    <row r="658" spans="1:12" x14ac:dyDescent="0.2">
      <c r="A658" s="393" t="s">
        <v>2173</v>
      </c>
      <c r="B658" s="393" t="s">
        <v>2224</v>
      </c>
      <c r="C658" s="93" t="s">
        <v>3</v>
      </c>
      <c r="D658" s="201">
        <f t="shared" si="522"/>
        <v>189.5409966156613</v>
      </c>
      <c r="E658" s="201">
        <f t="shared" si="523"/>
        <v>294.24195000000003</v>
      </c>
      <c r="F658" s="201">
        <f t="shared" si="524"/>
        <v>0</v>
      </c>
      <c r="H658" s="91" t="s">
        <v>2340</v>
      </c>
      <c r="J658" s="201">
        <f>VLOOKUP(A658,MapasEqtos!$B$1:$S$10197,15,FALSE)</f>
        <v>147.83635957855182</v>
      </c>
      <c r="K658" s="201">
        <f>VLOOKUP(A658,MapasEqtos!$B$1:$S$10197,14,FALSE)</f>
        <v>229.50000000000003</v>
      </c>
      <c r="L658" s="201"/>
    </row>
    <row r="659" spans="1:12" x14ac:dyDescent="0.2">
      <c r="A659" s="393" t="s">
        <v>2174</v>
      </c>
      <c r="B659" s="393" t="s">
        <v>2225</v>
      </c>
      <c r="C659" s="93" t="s">
        <v>3</v>
      </c>
      <c r="D659" s="201">
        <f t="shared" si="522"/>
        <v>167.24205583734818</v>
      </c>
      <c r="E659" s="201">
        <f t="shared" si="523"/>
        <v>259.62524999999999</v>
      </c>
      <c r="F659" s="201">
        <f t="shared" si="524"/>
        <v>0</v>
      </c>
      <c r="H659" s="91" t="s">
        <v>2340</v>
      </c>
      <c r="J659" s="201">
        <f>VLOOKUP(A659,MapasEqtos!$B$1:$S$10197,15,FALSE)</f>
        <v>130.44384668695747</v>
      </c>
      <c r="K659" s="201">
        <f>VLOOKUP(A659,MapasEqtos!$B$1:$S$10197,14,FALSE)</f>
        <v>202.5</v>
      </c>
      <c r="L659" s="201"/>
    </row>
    <row r="660" spans="1:12" x14ac:dyDescent="0.2">
      <c r="A660" s="393" t="s">
        <v>2175</v>
      </c>
      <c r="B660" s="393" t="s">
        <v>470</v>
      </c>
      <c r="C660" s="93" t="s">
        <v>3</v>
      </c>
      <c r="D660" s="201">
        <f t="shared" si="522"/>
        <v>668.9682233493927</v>
      </c>
      <c r="E660" s="201">
        <f t="shared" si="523"/>
        <v>1038.501</v>
      </c>
      <c r="F660" s="201">
        <f t="shared" si="524"/>
        <v>0</v>
      </c>
      <c r="H660" s="91" t="s">
        <v>2340</v>
      </c>
      <c r="J660" s="201">
        <f>VLOOKUP(A660,MapasEqtos!$B$1:$S$10197,15,FALSE)</f>
        <v>521.77538674782988</v>
      </c>
      <c r="K660" s="201">
        <f>VLOOKUP(A660,MapasEqtos!$B$1:$S$10197,14,FALSE)</f>
        <v>810</v>
      </c>
      <c r="L660" s="201"/>
    </row>
    <row r="661" spans="1:12" x14ac:dyDescent="0.2">
      <c r="A661" s="393" t="s">
        <v>2176</v>
      </c>
      <c r="B661" s="393" t="s">
        <v>2226</v>
      </c>
      <c r="C661" s="93" t="s">
        <v>3</v>
      </c>
      <c r="D661" s="201">
        <f t="shared" si="522"/>
        <v>3205.25</v>
      </c>
      <c r="E661" s="201">
        <f t="shared" si="523"/>
        <v>3100.8947526000002</v>
      </c>
      <c r="F661" s="201">
        <f t="shared" si="524"/>
        <v>0</v>
      </c>
      <c r="H661" s="91" t="s">
        <v>2340</v>
      </c>
      <c r="J661" s="201">
        <f>VLOOKUP(A661,MapasEqtos!$B$1:$S$10197,15,FALSE)</f>
        <v>2500</v>
      </c>
      <c r="K661" s="201">
        <f>VLOOKUP(A661,MapasEqtos!$B$1:$S$10197,14,FALSE)</f>
        <v>2418.6060000000002</v>
      </c>
      <c r="L661" s="201"/>
    </row>
    <row r="662" spans="1:12" x14ac:dyDescent="0.2">
      <c r="A662" s="393" t="s">
        <v>2177</v>
      </c>
      <c r="B662" s="393" t="s">
        <v>2227</v>
      </c>
      <c r="C662" s="93" t="s">
        <v>23</v>
      </c>
      <c r="D662" s="201">
        <f t="shared" si="522"/>
        <v>3205.25</v>
      </c>
      <c r="E662" s="201">
        <f t="shared" si="523"/>
        <v>3100.8947526000002</v>
      </c>
      <c r="F662" s="201">
        <f t="shared" si="524"/>
        <v>0</v>
      </c>
      <c r="H662" s="91" t="s">
        <v>2340</v>
      </c>
      <c r="J662" s="201">
        <f>VLOOKUP(A662,MapasEqtos!$B$1:$S$10197,15,FALSE)</f>
        <v>2500</v>
      </c>
      <c r="K662" s="201">
        <f>VLOOKUP(A662,MapasEqtos!$B$1:$S$10197,14,FALSE)</f>
        <v>2418.6060000000002</v>
      </c>
      <c r="L662" s="201"/>
    </row>
    <row r="663" spans="1:12" x14ac:dyDescent="0.2">
      <c r="A663" s="393" t="s">
        <v>2178</v>
      </c>
      <c r="B663" s="393" t="s">
        <v>471</v>
      </c>
      <c r="C663" s="93" t="s">
        <v>23</v>
      </c>
      <c r="D663" s="201">
        <f t="shared" si="522"/>
        <v>0</v>
      </c>
      <c r="E663" s="201">
        <f t="shared" si="523"/>
        <v>0</v>
      </c>
      <c r="F663" s="201">
        <f t="shared" si="524"/>
        <v>0</v>
      </c>
      <c r="H663" s="91" t="s">
        <v>2340</v>
      </c>
      <c r="J663" s="201">
        <f>VLOOKUP(A663,MapasEqtos!$B$1:$S$10197,15,FALSE)</f>
        <v>0</v>
      </c>
      <c r="K663" s="201">
        <f>VLOOKUP(A663,MapasEqtos!$B$1:$S$10197,14,FALSE)</f>
        <v>0</v>
      </c>
      <c r="L663" s="201"/>
    </row>
    <row r="664" spans="1:12" x14ac:dyDescent="0.2">
      <c r="A664" s="393" t="s">
        <v>2179</v>
      </c>
      <c r="B664" s="393" t="s">
        <v>472</v>
      </c>
      <c r="C664" s="93" t="s">
        <v>23</v>
      </c>
      <c r="D664" s="201">
        <f t="shared" si="522"/>
        <v>0</v>
      </c>
      <c r="E664" s="201">
        <f t="shared" si="523"/>
        <v>0</v>
      </c>
      <c r="F664" s="201">
        <f t="shared" si="524"/>
        <v>0</v>
      </c>
      <c r="H664" s="91" t="s">
        <v>2340</v>
      </c>
      <c r="J664" s="201">
        <f>VLOOKUP(A664,MapasEqtos!$B$1:$S$10197,15,FALSE)</f>
        <v>0</v>
      </c>
      <c r="K664" s="201">
        <f>VLOOKUP(A664,MapasEqtos!$B$1:$S$10197,14,FALSE)</f>
        <v>0</v>
      </c>
      <c r="L664" s="201"/>
    </row>
    <row r="665" spans="1:12" x14ac:dyDescent="0.2">
      <c r="A665" s="393" t="s">
        <v>2180</v>
      </c>
      <c r="B665" s="393" t="s">
        <v>438</v>
      </c>
      <c r="C665" s="93" t="s">
        <v>1611</v>
      </c>
      <c r="D665" s="201">
        <f t="shared" si="522"/>
        <v>4540.5744307348496</v>
      </c>
      <c r="E665" s="201">
        <f t="shared" si="523"/>
        <v>7048.7519770125009</v>
      </c>
      <c r="F665" s="201">
        <f t="shared" si="524"/>
        <v>0</v>
      </c>
      <c r="H665" s="91" t="s">
        <v>2340</v>
      </c>
      <c r="J665" s="201">
        <f>VLOOKUP(A665,MapasEqtos!$B$1:$S$10197,15,FALSE)</f>
        <v>3541.5134784610013</v>
      </c>
      <c r="K665" s="201">
        <f>VLOOKUP(A665,MapasEqtos!$B$1:$S$10197,14,FALSE)</f>
        <v>5497.8176250000006</v>
      </c>
      <c r="L665" s="201"/>
    </row>
    <row r="666" spans="1:12" x14ac:dyDescent="0.2">
      <c r="A666" s="393" t="s">
        <v>2181</v>
      </c>
      <c r="B666" s="393" t="s">
        <v>2314</v>
      </c>
      <c r="C666" s="93" t="s">
        <v>3</v>
      </c>
      <c r="D666" s="201">
        <f t="shared" ref="D666" si="525">J666*$J$4</f>
        <v>447.77827806940343</v>
      </c>
      <c r="E666" s="201">
        <f t="shared" ref="E666" si="526">K666*$J$4</f>
        <v>591.13175558083117</v>
      </c>
      <c r="F666" s="201">
        <f t="shared" si="524"/>
        <v>0</v>
      </c>
      <c r="H666" s="91" t="s">
        <v>2340</v>
      </c>
      <c r="J666" s="201">
        <f>VLOOKUP(A666,MapasEqtos!$B$1:$S$10197,15,FALSE)</f>
        <v>349.25378525029515</v>
      </c>
      <c r="K666" s="201">
        <f>VLOOKUP(A666,MapasEqtos!$B$1:$S$10197,14,FALSE)</f>
        <v>461.06524887359114</v>
      </c>
      <c r="L666" s="201"/>
    </row>
    <row r="667" spans="1:12" x14ac:dyDescent="0.2">
      <c r="A667" s="393" t="s">
        <v>2182</v>
      </c>
      <c r="B667" s="393" t="s">
        <v>2315</v>
      </c>
      <c r="C667" s="93" t="s">
        <v>3</v>
      </c>
      <c r="D667" s="201">
        <f t="shared" si="522"/>
        <v>1217.9950000000001</v>
      </c>
      <c r="E667" s="201">
        <f t="shared" si="523"/>
        <v>2720.8726200000006</v>
      </c>
      <c r="F667" s="201">
        <f t="shared" si="524"/>
        <v>0</v>
      </c>
      <c r="H667" s="91" t="s">
        <v>2340</v>
      </c>
      <c r="J667" s="201">
        <f>VLOOKUP(A667,MapasEqtos!$B$1:$S$10197,15,FALSE)</f>
        <v>950</v>
      </c>
      <c r="K667" s="201">
        <f>VLOOKUP(A667,MapasEqtos!$B$1:$S$10197,14,FALSE)</f>
        <v>2122.2000000000003</v>
      </c>
      <c r="L667" s="201"/>
    </row>
    <row r="668" spans="1:12" x14ac:dyDescent="0.2">
      <c r="A668" s="393" t="s">
        <v>2183</v>
      </c>
      <c r="B668" s="393" t="s">
        <v>2316</v>
      </c>
      <c r="C668" s="93" t="s">
        <v>3</v>
      </c>
      <c r="D668" s="201">
        <f t="shared" si="522"/>
        <v>1217.9950000000001</v>
      </c>
      <c r="E668" s="201">
        <f t="shared" si="523"/>
        <v>3208.9680900000003</v>
      </c>
      <c r="F668" s="201">
        <f t="shared" si="524"/>
        <v>0</v>
      </c>
      <c r="H668" s="91" t="s">
        <v>2340</v>
      </c>
      <c r="J668" s="201">
        <f>VLOOKUP(A668,MapasEqtos!$B$1:$S$10197,15,FALSE)</f>
        <v>950</v>
      </c>
      <c r="K668" s="201">
        <f>VLOOKUP(A668,MapasEqtos!$B$1:$S$10197,14,FALSE)</f>
        <v>2502.9</v>
      </c>
      <c r="L668" s="201"/>
    </row>
    <row r="669" spans="1:12" x14ac:dyDescent="0.2">
      <c r="A669" s="393" t="s">
        <v>2184</v>
      </c>
      <c r="B669" s="393" t="s">
        <v>2317</v>
      </c>
      <c r="C669" s="93" t="s">
        <v>3</v>
      </c>
      <c r="D669" s="201">
        <f t="shared" si="522"/>
        <v>1826.9925000000001</v>
      </c>
      <c r="E669" s="201">
        <f t="shared" si="523"/>
        <v>6770.0008400000006</v>
      </c>
      <c r="F669" s="201">
        <f t="shared" si="524"/>
        <v>0</v>
      </c>
      <c r="H669" s="91" t="s">
        <v>2340</v>
      </c>
      <c r="J669" s="201">
        <f>VLOOKUP(A669,MapasEqtos!$B$1:$S$10197,15,FALSE)</f>
        <v>1425</v>
      </c>
      <c r="K669" s="201">
        <f>VLOOKUP(A669,MapasEqtos!$B$1:$S$10197,14,FALSE)</f>
        <v>5280.4000000000005</v>
      </c>
      <c r="L669" s="201"/>
    </row>
    <row r="670" spans="1:12" x14ac:dyDescent="0.2">
      <c r="A670" s="393" t="s">
        <v>2185</v>
      </c>
      <c r="B670" s="393" t="s">
        <v>2318</v>
      </c>
      <c r="C670" s="93" t="s">
        <v>3</v>
      </c>
      <c r="D670" s="201">
        <f t="shared" si="522"/>
        <v>1826.9925000000001</v>
      </c>
      <c r="E670" s="201">
        <f t="shared" si="523"/>
        <v>16028.301360000001</v>
      </c>
      <c r="F670" s="201">
        <f t="shared" si="524"/>
        <v>0</v>
      </c>
      <c r="H670" s="91" t="s">
        <v>2340</v>
      </c>
      <c r="J670" s="201">
        <f>VLOOKUP(A670,MapasEqtos!$B$1:$S$10197,15,FALSE)</f>
        <v>1425</v>
      </c>
      <c r="K670" s="201">
        <f>VLOOKUP(A670,MapasEqtos!$B$1:$S$10197,14,FALSE)</f>
        <v>12501.6</v>
      </c>
      <c r="L670" s="201"/>
    </row>
    <row r="671" spans="1:12" x14ac:dyDescent="0.2">
      <c r="A671" s="393" t="s">
        <v>2186</v>
      </c>
      <c r="B671" s="393" t="s">
        <v>2319</v>
      </c>
      <c r="C671" s="93" t="s">
        <v>3</v>
      </c>
      <c r="D671" s="201">
        <f t="shared" si="522"/>
        <v>1397.489</v>
      </c>
      <c r="E671" s="201">
        <f t="shared" si="523"/>
        <v>7519.5164999999997</v>
      </c>
      <c r="F671" s="201">
        <f t="shared" si="524"/>
        <v>0</v>
      </c>
      <c r="H671" s="91" t="s">
        <v>2340</v>
      </c>
      <c r="J671" s="201">
        <f>VLOOKUP(A671,MapasEqtos!$B$1:$S$10197,15,FALSE)</f>
        <v>1090</v>
      </c>
      <c r="K671" s="201">
        <f>VLOOKUP(A671,MapasEqtos!$B$1:$S$10197,14,FALSE)</f>
        <v>5865</v>
      </c>
      <c r="L671" s="201"/>
    </row>
    <row r="672" spans="1:12" x14ac:dyDescent="0.2">
      <c r="A672" s="393" t="s">
        <v>2187</v>
      </c>
      <c r="B672" s="393" t="s">
        <v>2320</v>
      </c>
      <c r="C672" s="93" t="s">
        <v>3</v>
      </c>
      <c r="D672" s="201">
        <f t="shared" si="522"/>
        <v>1397.489</v>
      </c>
      <c r="E672" s="201">
        <f t="shared" si="523"/>
        <v>11279.915800000001</v>
      </c>
      <c r="F672" s="201">
        <f t="shared" si="524"/>
        <v>0</v>
      </c>
      <c r="H672" s="91" t="s">
        <v>2340</v>
      </c>
      <c r="J672" s="201">
        <f>VLOOKUP(A672,MapasEqtos!$B$1:$S$10197,15,FALSE)</f>
        <v>1090</v>
      </c>
      <c r="K672" s="201">
        <f>VLOOKUP(A672,MapasEqtos!$B$1:$S$10197,14,FALSE)</f>
        <v>8798</v>
      </c>
      <c r="L672" s="201"/>
    </row>
  </sheetData>
  <autoFilter ref="A8:M169"/>
  <sortState ref="A9:WVK169">
    <sortCondition ref="A9:A169"/>
  </sortState>
  <mergeCells count="12">
    <mergeCell ref="A320:F320"/>
    <mergeCell ref="A1:F1"/>
    <mergeCell ref="A2:F2"/>
    <mergeCell ref="A3:F3"/>
    <mergeCell ref="J6:M6"/>
    <mergeCell ref="A171:F171"/>
    <mergeCell ref="A266:F266"/>
    <mergeCell ref="A259:F259"/>
    <mergeCell ref="A262:F262"/>
    <mergeCell ref="A308:F308"/>
    <mergeCell ref="A242:F242"/>
    <mergeCell ref="A254:F254"/>
  </mergeCells>
  <phoneticPr fontId="69" type="noConversion"/>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254"/>
  <sheetViews>
    <sheetView showGridLines="0" zoomScale="85" zoomScaleNormal="85" zoomScaleSheetLayoutView="80" workbookViewId="0">
      <selection activeCell="D8" sqref="D8"/>
    </sheetView>
  </sheetViews>
  <sheetFormatPr defaultColWidth="9.140625" defaultRowHeight="12.75" x14ac:dyDescent="0.2"/>
  <cols>
    <col min="1" max="1" width="11.28515625" style="60" customWidth="1"/>
    <col min="2" max="2" width="20.85546875" style="60" customWidth="1"/>
    <col min="3" max="3" width="18.140625" style="60" customWidth="1"/>
    <col min="4" max="4" width="42.5703125" style="62" customWidth="1"/>
    <col min="5" max="5" width="4.85546875" style="14" customWidth="1"/>
    <col min="6" max="6" width="11.7109375" style="60" bestFit="1" customWidth="1"/>
    <col min="7" max="9" width="8.7109375" style="60" customWidth="1"/>
    <col min="10" max="10" width="8.7109375" style="14" customWidth="1"/>
    <col min="11" max="11" width="15.7109375" style="63" customWidth="1"/>
    <col min="12" max="12" width="15.7109375" style="61" customWidth="1"/>
    <col min="13" max="13" width="15.7109375" style="14" customWidth="1"/>
    <col min="14" max="16384" width="9.140625" style="14"/>
  </cols>
  <sheetData>
    <row r="1" spans="1:13" ht="13.5" customHeight="1" thickBot="1" x14ac:dyDescent="0.25">
      <c r="D1" s="192"/>
      <c r="G1" s="135"/>
    </row>
    <row r="2" spans="1:13" ht="17.45" customHeight="1" x14ac:dyDescent="0.2">
      <c r="A2" s="136"/>
      <c r="B2" s="476" t="s">
        <v>25</v>
      </c>
      <c r="C2" s="477"/>
      <c r="D2" s="477"/>
      <c r="E2" s="477"/>
      <c r="F2" s="477"/>
      <c r="G2" s="477"/>
      <c r="H2" s="477"/>
      <c r="I2" s="477"/>
      <c r="J2" s="478"/>
      <c r="K2" s="190"/>
      <c r="L2" s="137"/>
    </row>
    <row r="3" spans="1:13" ht="17.45" customHeight="1" x14ac:dyDescent="0.2">
      <c r="A3" s="141"/>
      <c r="B3" s="144" t="s">
        <v>43</v>
      </c>
      <c r="C3" s="138" t="s">
        <v>108</v>
      </c>
      <c r="D3" s="193"/>
      <c r="E3" s="139"/>
      <c r="F3" s="143" t="s">
        <v>113</v>
      </c>
      <c r="G3" s="479"/>
      <c r="H3" s="479"/>
      <c r="I3" s="145"/>
      <c r="J3" s="249">
        <v>44682</v>
      </c>
      <c r="K3" s="190"/>
      <c r="L3" s="137"/>
    </row>
    <row r="4" spans="1:13" ht="17.45" customHeight="1" x14ac:dyDescent="0.2">
      <c r="A4" s="141"/>
      <c r="B4" s="144" t="s">
        <v>4</v>
      </c>
      <c r="C4" s="480" t="s">
        <v>134</v>
      </c>
      <c r="D4" s="480" t="e">
        <v>#N/A</v>
      </c>
      <c r="E4" s="480" t="e">
        <v>#N/A</v>
      </c>
      <c r="F4" s="480" t="e">
        <v>#N/A</v>
      </c>
      <c r="G4" s="480" t="e">
        <v>#N/A</v>
      </c>
      <c r="H4" s="480" t="e">
        <v>#N/A</v>
      </c>
      <c r="I4" s="480" t="e">
        <v>#N/A</v>
      </c>
      <c r="J4" s="481" t="e">
        <v>#N/A</v>
      </c>
      <c r="K4" s="185" t="s">
        <v>114</v>
      </c>
      <c r="L4" s="186" t="s">
        <v>89</v>
      </c>
      <c r="M4" s="187" t="s">
        <v>115</v>
      </c>
    </row>
    <row r="5" spans="1:13" ht="17.45" customHeight="1" x14ac:dyDescent="0.2">
      <c r="A5" s="140" t="s">
        <v>132</v>
      </c>
      <c r="B5" s="146" t="s">
        <v>46</v>
      </c>
      <c r="C5" s="147" t="s">
        <v>132</v>
      </c>
      <c r="D5" s="194" t="s">
        <v>45</v>
      </c>
      <c r="E5" s="482" t="s">
        <v>133</v>
      </c>
      <c r="F5" s="482"/>
      <c r="G5" s="482"/>
      <c r="H5" s="483"/>
      <c r="I5" s="181" t="s">
        <v>116</v>
      </c>
      <c r="J5" s="183" t="s">
        <v>3</v>
      </c>
      <c r="K5" s="184">
        <v>5490.01</v>
      </c>
      <c r="L5" s="188">
        <v>196.55</v>
      </c>
      <c r="M5" s="189">
        <v>0</v>
      </c>
    </row>
    <row r="6" spans="1:13" ht="17.45" customHeight="1" x14ac:dyDescent="0.2">
      <c r="A6" s="148"/>
      <c r="B6" s="149"/>
      <c r="C6" s="147"/>
      <c r="D6" s="484" t="s">
        <v>6</v>
      </c>
      <c r="E6" s="485"/>
      <c r="F6" s="485"/>
      <c r="G6" s="486"/>
      <c r="H6" s="485"/>
      <c r="I6" s="485"/>
      <c r="J6" s="487"/>
      <c r="K6" s="182"/>
    </row>
    <row r="7" spans="1:13" ht="15" customHeight="1" x14ac:dyDescent="0.2">
      <c r="A7" s="140"/>
      <c r="B7" s="150" t="s">
        <v>29</v>
      </c>
      <c r="C7" s="151" t="s">
        <v>66</v>
      </c>
      <c r="D7" s="195" t="s">
        <v>7</v>
      </c>
      <c r="E7" s="152" t="s">
        <v>30</v>
      </c>
      <c r="F7" s="152" t="s">
        <v>112</v>
      </c>
      <c r="G7" s="488" t="s">
        <v>110</v>
      </c>
      <c r="H7" s="489"/>
      <c r="I7" s="488" t="s">
        <v>111</v>
      </c>
      <c r="J7" s="490"/>
      <c r="K7" s="182"/>
    </row>
    <row r="8" spans="1:13" ht="25.5" x14ac:dyDescent="0.2">
      <c r="A8" s="140"/>
      <c r="B8" s="172" t="s">
        <v>100</v>
      </c>
      <c r="C8" s="154">
        <v>90779</v>
      </c>
      <c r="D8" s="191" t="s">
        <v>97</v>
      </c>
      <c r="E8" s="155" t="s">
        <v>48</v>
      </c>
      <c r="F8" s="156">
        <v>4</v>
      </c>
      <c r="G8" s="428">
        <v>168.28</v>
      </c>
      <c r="H8" s="429" t="e">
        <v>#N/A</v>
      </c>
      <c r="I8" s="430">
        <v>673.12</v>
      </c>
      <c r="J8" s="431"/>
    </row>
    <row r="9" spans="1:13" ht="25.5" x14ac:dyDescent="0.2">
      <c r="A9" s="140"/>
      <c r="B9" s="157" t="s">
        <v>100</v>
      </c>
      <c r="C9" s="158">
        <v>90778</v>
      </c>
      <c r="D9" s="196" t="s">
        <v>96</v>
      </c>
      <c r="E9" s="159" t="s">
        <v>48</v>
      </c>
      <c r="F9" s="160">
        <v>39</v>
      </c>
      <c r="G9" s="432">
        <v>123.51</v>
      </c>
      <c r="H9" s="433" t="e">
        <v>#N/A</v>
      </c>
      <c r="I9" s="434">
        <v>4816.8900000000003</v>
      </c>
      <c r="J9" s="435"/>
    </row>
    <row r="10" spans="1:13" ht="17.45" customHeight="1" x14ac:dyDescent="0.2">
      <c r="A10" s="140"/>
      <c r="B10" s="161"/>
      <c r="C10" s="162"/>
      <c r="D10" s="197"/>
      <c r="E10" s="163"/>
      <c r="F10" s="163"/>
      <c r="G10" s="456"/>
      <c r="H10" s="457"/>
      <c r="I10" s="464"/>
      <c r="J10" s="465"/>
    </row>
    <row r="11" spans="1:13" ht="17.45" customHeight="1" x14ac:dyDescent="0.2">
      <c r="A11" s="136"/>
      <c r="B11" s="466" t="s">
        <v>44</v>
      </c>
      <c r="C11" s="467"/>
      <c r="D11" s="468"/>
      <c r="E11" s="468"/>
      <c r="F11" s="468"/>
      <c r="G11" s="468"/>
      <c r="H11" s="468"/>
      <c r="I11" s="469">
        <v>5490.01</v>
      </c>
      <c r="J11" s="470"/>
    </row>
    <row r="12" spans="1:13" ht="17.45" customHeight="1" x14ac:dyDescent="0.2">
      <c r="A12" s="136"/>
      <c r="B12" s="466" t="s">
        <v>117</v>
      </c>
      <c r="C12" s="467"/>
      <c r="D12" s="468"/>
      <c r="E12" s="468"/>
      <c r="F12" s="164"/>
      <c r="G12" s="89"/>
      <c r="H12" s="165"/>
      <c r="I12" s="471">
        <v>0</v>
      </c>
      <c r="J12" s="472"/>
    </row>
    <row r="13" spans="1:13" ht="17.45" customHeight="1" x14ac:dyDescent="0.2">
      <c r="A13" s="136"/>
      <c r="B13" s="439" t="s">
        <v>8</v>
      </c>
      <c r="C13" s="440"/>
      <c r="D13" s="441"/>
      <c r="E13" s="441"/>
      <c r="F13" s="441"/>
      <c r="G13" s="441"/>
      <c r="H13" s="441"/>
      <c r="I13" s="473">
        <v>5490.01</v>
      </c>
      <c r="J13" s="474"/>
    </row>
    <row r="14" spans="1:13" ht="17.45" customHeight="1" x14ac:dyDescent="0.2">
      <c r="A14" s="148"/>
      <c r="B14" s="88"/>
      <c r="C14" s="142"/>
      <c r="D14" s="475" t="s">
        <v>9</v>
      </c>
      <c r="E14" s="475"/>
      <c r="F14" s="460"/>
      <c r="G14" s="460"/>
      <c r="H14" s="460"/>
      <c r="I14" s="460"/>
      <c r="J14" s="461"/>
    </row>
    <row r="15" spans="1:13" ht="30" customHeight="1" x14ac:dyDescent="0.2">
      <c r="A15" s="140"/>
      <c r="B15" s="170" t="s">
        <v>29</v>
      </c>
      <c r="C15" s="151" t="s">
        <v>66</v>
      </c>
      <c r="D15" s="198" t="s">
        <v>7</v>
      </c>
      <c r="E15" s="171" t="s">
        <v>0</v>
      </c>
      <c r="F15" s="171" t="s">
        <v>10</v>
      </c>
      <c r="G15" s="462" t="s">
        <v>11</v>
      </c>
      <c r="H15" s="462"/>
      <c r="I15" s="462" t="s">
        <v>12</v>
      </c>
      <c r="J15" s="463"/>
    </row>
    <row r="16" spans="1:13" x14ac:dyDescent="0.2">
      <c r="A16" s="140"/>
      <c r="B16" s="172" t="s">
        <v>133</v>
      </c>
      <c r="C16" s="154" t="s">
        <v>136</v>
      </c>
      <c r="D16" s="191" t="s">
        <v>137</v>
      </c>
      <c r="E16" s="155" t="s">
        <v>3</v>
      </c>
      <c r="F16" s="156">
        <v>75</v>
      </c>
      <c r="G16" s="428">
        <v>2.13</v>
      </c>
      <c r="H16" s="429" t="e">
        <v>#N/A</v>
      </c>
      <c r="I16" s="430">
        <v>159.75</v>
      </c>
      <c r="J16" s="431"/>
    </row>
    <row r="17" spans="1:10" x14ac:dyDescent="0.2">
      <c r="A17" s="140"/>
      <c r="B17" s="157" t="s">
        <v>133</v>
      </c>
      <c r="C17" s="158" t="s">
        <v>138</v>
      </c>
      <c r="D17" s="196" t="s">
        <v>139</v>
      </c>
      <c r="E17" s="159" t="s">
        <v>3</v>
      </c>
      <c r="F17" s="160">
        <v>5</v>
      </c>
      <c r="G17" s="432">
        <v>7.36</v>
      </c>
      <c r="H17" s="433" t="e">
        <v>#N/A</v>
      </c>
      <c r="I17" s="434">
        <v>36.799999999999997</v>
      </c>
      <c r="J17" s="435"/>
    </row>
    <row r="18" spans="1:10" x14ac:dyDescent="0.2">
      <c r="A18" s="140"/>
      <c r="B18" s="157"/>
      <c r="C18" s="173"/>
      <c r="D18" s="196"/>
      <c r="E18" s="159"/>
      <c r="F18" s="174"/>
      <c r="G18" s="432"/>
      <c r="H18" s="433"/>
      <c r="I18" s="434"/>
      <c r="J18" s="435"/>
    </row>
    <row r="19" spans="1:10" ht="17.45" customHeight="1" x14ac:dyDescent="0.2">
      <c r="A19" s="140"/>
      <c r="B19" s="175"/>
      <c r="C19" s="162"/>
      <c r="D19" s="199"/>
      <c r="E19" s="163"/>
      <c r="F19" s="163"/>
      <c r="G19" s="456"/>
      <c r="H19" s="457"/>
      <c r="I19" s="458"/>
      <c r="J19" s="459"/>
    </row>
    <row r="20" spans="1:10" ht="17.45" customHeight="1" x14ac:dyDescent="0.2">
      <c r="A20" s="136"/>
      <c r="B20" s="439" t="s">
        <v>13</v>
      </c>
      <c r="C20" s="440"/>
      <c r="D20" s="441"/>
      <c r="E20" s="441"/>
      <c r="F20" s="441"/>
      <c r="G20" s="441"/>
      <c r="H20" s="441"/>
      <c r="I20" s="446">
        <v>196.55</v>
      </c>
      <c r="J20" s="447"/>
    </row>
    <row r="21" spans="1:10" ht="17.45" customHeight="1" x14ac:dyDescent="0.2">
      <c r="A21" s="148"/>
      <c r="B21" s="149"/>
      <c r="C21" s="147"/>
      <c r="D21" s="460" t="s">
        <v>14</v>
      </c>
      <c r="E21" s="460"/>
      <c r="F21" s="460"/>
      <c r="G21" s="460"/>
      <c r="H21" s="460"/>
      <c r="I21" s="460"/>
      <c r="J21" s="461"/>
    </row>
    <row r="22" spans="1:10" ht="30" customHeight="1" x14ac:dyDescent="0.2">
      <c r="A22" s="140"/>
      <c r="B22" s="170" t="s">
        <v>29</v>
      </c>
      <c r="C22" s="176"/>
      <c r="D22" s="198" t="s">
        <v>7</v>
      </c>
      <c r="E22" s="171" t="s">
        <v>0</v>
      </c>
      <c r="F22" s="171" t="s">
        <v>10</v>
      </c>
      <c r="G22" s="462" t="s">
        <v>11</v>
      </c>
      <c r="H22" s="462"/>
      <c r="I22" s="462" t="s">
        <v>12</v>
      </c>
      <c r="J22" s="463"/>
    </row>
    <row r="23" spans="1:10" x14ac:dyDescent="0.2">
      <c r="A23" s="140"/>
      <c r="B23" s="153"/>
      <c r="C23" s="154"/>
      <c r="D23" s="191"/>
      <c r="E23" s="155"/>
      <c r="F23" s="156"/>
      <c r="G23" s="428"/>
      <c r="H23" s="429"/>
      <c r="I23" s="430"/>
      <c r="J23" s="431"/>
    </row>
    <row r="24" spans="1:10" x14ac:dyDescent="0.2">
      <c r="A24" s="140"/>
      <c r="B24" s="157"/>
      <c r="C24" s="158"/>
      <c r="D24" s="196"/>
      <c r="E24" s="159"/>
      <c r="F24" s="160"/>
      <c r="G24" s="432"/>
      <c r="H24" s="433"/>
      <c r="I24" s="434"/>
      <c r="J24" s="435"/>
    </row>
    <row r="25" spans="1:10" ht="17.45" customHeight="1" x14ac:dyDescent="0.2">
      <c r="A25" s="140"/>
      <c r="B25" s="175"/>
      <c r="C25" s="162"/>
      <c r="D25" s="199"/>
      <c r="E25" s="163"/>
      <c r="F25" s="177"/>
      <c r="G25" s="436"/>
      <c r="H25" s="437"/>
      <c r="I25" s="436"/>
      <c r="J25" s="438"/>
    </row>
    <row r="26" spans="1:10" ht="17.45" customHeight="1" x14ac:dyDescent="0.2">
      <c r="A26" s="136"/>
      <c r="B26" s="439" t="s">
        <v>15</v>
      </c>
      <c r="C26" s="440"/>
      <c r="D26" s="441"/>
      <c r="E26" s="441"/>
      <c r="F26" s="441"/>
      <c r="G26" s="441"/>
      <c r="H26" s="441"/>
      <c r="I26" s="442">
        <v>0</v>
      </c>
      <c r="J26" s="443"/>
    </row>
    <row r="27" spans="1:10" ht="17.45" customHeight="1" x14ac:dyDescent="0.2">
      <c r="A27" s="136"/>
      <c r="B27" s="439" t="s">
        <v>16</v>
      </c>
      <c r="C27" s="440"/>
      <c r="D27" s="441"/>
      <c r="E27" s="441"/>
      <c r="F27" s="441"/>
      <c r="G27" s="441"/>
      <c r="H27" s="441"/>
      <c r="I27" s="444">
        <v>5686.56</v>
      </c>
      <c r="J27" s="445"/>
    </row>
    <row r="28" spans="1:10" ht="17.45" customHeight="1" x14ac:dyDescent="0.2">
      <c r="A28" s="140"/>
      <c r="B28" s="178"/>
      <c r="C28" s="179"/>
      <c r="D28" s="193" t="s">
        <v>17</v>
      </c>
      <c r="E28" s="180"/>
      <c r="F28" s="164">
        <v>0</v>
      </c>
      <c r="G28" s="139"/>
      <c r="H28" s="139"/>
      <c r="I28" s="446">
        <v>0</v>
      </c>
      <c r="J28" s="447"/>
    </row>
    <row r="29" spans="1:10" ht="17.45" customHeight="1" x14ac:dyDescent="0.2">
      <c r="A29" s="136"/>
      <c r="B29" s="439" t="s">
        <v>18</v>
      </c>
      <c r="C29" s="440"/>
      <c r="D29" s="441"/>
      <c r="E29" s="441"/>
      <c r="F29" s="441"/>
      <c r="G29" s="441"/>
      <c r="H29" s="441"/>
      <c r="I29" s="448">
        <v>5686.56</v>
      </c>
      <c r="J29" s="449"/>
    </row>
    <row r="30" spans="1:10" ht="17.45" customHeight="1" x14ac:dyDescent="0.2">
      <c r="A30" s="141"/>
      <c r="B30" s="450" t="s">
        <v>141</v>
      </c>
      <c r="C30" s="451"/>
      <c r="D30" s="451"/>
      <c r="E30" s="451"/>
      <c r="F30" s="451"/>
      <c r="G30" s="451"/>
      <c r="H30" s="451"/>
      <c r="I30" s="451"/>
      <c r="J30" s="452"/>
    </row>
    <row r="31" spans="1:10" ht="17.45" customHeight="1" thickBot="1" x14ac:dyDescent="0.25">
      <c r="A31" s="140"/>
      <c r="B31" s="453"/>
      <c r="C31" s="454"/>
      <c r="D31" s="454"/>
      <c r="E31" s="454"/>
      <c r="F31" s="454"/>
      <c r="G31" s="454"/>
      <c r="H31" s="454"/>
      <c r="I31" s="454"/>
      <c r="J31" s="455"/>
    </row>
    <row r="32" spans="1:10" ht="13.5" thickBot="1" x14ac:dyDescent="0.25"/>
    <row r="33" spans="1:13" ht="17.45" customHeight="1" x14ac:dyDescent="0.2">
      <c r="A33" s="136"/>
      <c r="B33" s="476" t="s">
        <v>25</v>
      </c>
      <c r="C33" s="477"/>
      <c r="D33" s="477"/>
      <c r="E33" s="477"/>
      <c r="F33" s="477"/>
      <c r="G33" s="477"/>
      <c r="H33" s="477"/>
      <c r="I33" s="477"/>
      <c r="J33" s="478"/>
      <c r="K33" s="190"/>
      <c r="L33" s="137"/>
    </row>
    <row r="34" spans="1:13" ht="17.45" customHeight="1" x14ac:dyDescent="0.2">
      <c r="A34" s="141"/>
      <c r="B34" s="144" t="s">
        <v>43</v>
      </c>
      <c r="C34" s="169" t="s">
        <v>108</v>
      </c>
      <c r="D34" s="193"/>
      <c r="E34" s="168"/>
      <c r="F34" s="143" t="s">
        <v>113</v>
      </c>
      <c r="G34" s="479"/>
      <c r="H34" s="479"/>
      <c r="I34" s="145"/>
      <c r="J34" s="249">
        <v>44682</v>
      </c>
      <c r="K34" s="190"/>
      <c r="L34" s="137"/>
    </row>
    <row r="35" spans="1:13" ht="17.45" customHeight="1" x14ac:dyDescent="0.2">
      <c r="A35" s="141"/>
      <c r="B35" s="144" t="s">
        <v>4</v>
      </c>
      <c r="C35" s="480" t="s">
        <v>1166</v>
      </c>
      <c r="D35" s="480" t="e">
        <v>#N/A</v>
      </c>
      <c r="E35" s="480" t="e">
        <v>#N/A</v>
      </c>
      <c r="F35" s="480" t="e">
        <v>#N/A</v>
      </c>
      <c r="G35" s="480" t="e">
        <v>#N/A</v>
      </c>
      <c r="H35" s="480" t="e">
        <v>#N/A</v>
      </c>
      <c r="I35" s="480" t="e">
        <v>#N/A</v>
      </c>
      <c r="J35" s="481" t="e">
        <v>#N/A</v>
      </c>
      <c r="K35" s="185" t="s">
        <v>114</v>
      </c>
      <c r="L35" s="186" t="s">
        <v>89</v>
      </c>
      <c r="M35" s="187" t="s">
        <v>115</v>
      </c>
    </row>
    <row r="36" spans="1:13" ht="17.45" customHeight="1" x14ac:dyDescent="0.2">
      <c r="A36" s="140" t="s">
        <v>1165</v>
      </c>
      <c r="B36" s="146" t="s">
        <v>46</v>
      </c>
      <c r="C36" s="239" t="s">
        <v>1165</v>
      </c>
      <c r="D36" s="194" t="s">
        <v>45</v>
      </c>
      <c r="E36" s="482" t="s">
        <v>135</v>
      </c>
      <c r="F36" s="482"/>
      <c r="G36" s="482"/>
      <c r="H36" s="483"/>
      <c r="I36" s="181" t="s">
        <v>116</v>
      </c>
      <c r="J36" s="183" t="s">
        <v>57</v>
      </c>
      <c r="K36" s="184">
        <v>57.129999999999995</v>
      </c>
      <c r="L36" s="188">
        <v>134.69</v>
      </c>
      <c r="M36" s="189">
        <v>0</v>
      </c>
    </row>
    <row r="37" spans="1:13" ht="17.45" customHeight="1" x14ac:dyDescent="0.2">
      <c r="A37" s="148"/>
      <c r="B37" s="166"/>
      <c r="C37" s="167"/>
      <c r="D37" s="484" t="s">
        <v>6</v>
      </c>
      <c r="E37" s="485"/>
      <c r="F37" s="485"/>
      <c r="G37" s="486"/>
      <c r="H37" s="485"/>
      <c r="I37" s="485"/>
      <c r="J37" s="487"/>
      <c r="K37" s="182"/>
    </row>
    <row r="38" spans="1:13" ht="15" customHeight="1" x14ac:dyDescent="0.2">
      <c r="A38" s="140"/>
      <c r="B38" s="150" t="s">
        <v>29</v>
      </c>
      <c r="C38" s="151" t="s">
        <v>66</v>
      </c>
      <c r="D38" s="195" t="s">
        <v>7</v>
      </c>
      <c r="E38" s="152" t="s">
        <v>30</v>
      </c>
      <c r="F38" s="152" t="s">
        <v>112</v>
      </c>
      <c r="G38" s="488" t="s">
        <v>110</v>
      </c>
      <c r="H38" s="489"/>
      <c r="I38" s="488" t="s">
        <v>111</v>
      </c>
      <c r="J38" s="490"/>
      <c r="K38" s="182"/>
    </row>
    <row r="39" spans="1:13" ht="25.5" x14ac:dyDescent="0.2">
      <c r="A39" s="140"/>
      <c r="B39" s="172" t="s">
        <v>100</v>
      </c>
      <c r="C39" s="154">
        <v>88239</v>
      </c>
      <c r="D39" s="191" t="s">
        <v>50</v>
      </c>
      <c r="E39" s="155" t="s">
        <v>48</v>
      </c>
      <c r="F39" s="156">
        <v>0.16</v>
      </c>
      <c r="G39" s="428">
        <v>32.729999999999997</v>
      </c>
      <c r="H39" s="429" t="e">
        <v>#N/A</v>
      </c>
      <c r="I39" s="430">
        <v>5.24</v>
      </c>
      <c r="J39" s="431"/>
    </row>
    <row r="40" spans="1:13" ht="25.5" x14ac:dyDescent="0.2">
      <c r="A40" s="140"/>
      <c r="B40" s="157" t="s">
        <v>100</v>
      </c>
      <c r="C40" s="158">
        <v>88262</v>
      </c>
      <c r="D40" s="196" t="s">
        <v>54</v>
      </c>
      <c r="E40" s="159" t="s">
        <v>48</v>
      </c>
      <c r="F40" s="160">
        <v>0.16</v>
      </c>
      <c r="G40" s="432">
        <v>40.68</v>
      </c>
      <c r="H40" s="433" t="e">
        <v>#N/A</v>
      </c>
      <c r="I40" s="434">
        <v>6.51</v>
      </c>
      <c r="J40" s="435"/>
    </row>
    <row r="41" spans="1:13" x14ac:dyDescent="0.2">
      <c r="A41" s="140"/>
      <c r="B41" s="157" t="s">
        <v>100</v>
      </c>
      <c r="C41" s="158">
        <v>88309</v>
      </c>
      <c r="D41" s="196" t="s">
        <v>49</v>
      </c>
      <c r="E41" s="159" t="s">
        <v>48</v>
      </c>
      <c r="F41" s="160">
        <v>0.4</v>
      </c>
      <c r="G41" s="432">
        <v>41.17</v>
      </c>
      <c r="H41" s="433" t="e">
        <v>#N/A</v>
      </c>
      <c r="I41" s="434">
        <v>16.47</v>
      </c>
      <c r="J41" s="435"/>
    </row>
    <row r="42" spans="1:13" x14ac:dyDescent="0.2">
      <c r="A42" s="140"/>
      <c r="B42" s="157" t="s">
        <v>100</v>
      </c>
      <c r="C42" s="158">
        <v>88316</v>
      </c>
      <c r="D42" s="196" t="s">
        <v>56</v>
      </c>
      <c r="E42" s="159" t="s">
        <v>48</v>
      </c>
      <c r="F42" s="160">
        <v>0.9</v>
      </c>
      <c r="G42" s="432">
        <v>32.119999999999997</v>
      </c>
      <c r="H42" s="433" t="e">
        <v>#N/A</v>
      </c>
      <c r="I42" s="434">
        <v>28.91</v>
      </c>
      <c r="J42" s="435"/>
    </row>
    <row r="43" spans="1:13" ht="17.45" customHeight="1" x14ac:dyDescent="0.2">
      <c r="A43" s="140"/>
      <c r="B43" s="161"/>
      <c r="C43" s="162"/>
      <c r="D43" s="197"/>
      <c r="E43" s="163"/>
      <c r="F43" s="163"/>
      <c r="G43" s="456"/>
      <c r="H43" s="457"/>
      <c r="I43" s="464"/>
      <c r="J43" s="465"/>
    </row>
    <row r="44" spans="1:13" ht="17.45" customHeight="1" x14ac:dyDescent="0.2">
      <c r="A44" s="136"/>
      <c r="B44" s="466" t="s">
        <v>44</v>
      </c>
      <c r="C44" s="467"/>
      <c r="D44" s="468"/>
      <c r="E44" s="468"/>
      <c r="F44" s="468"/>
      <c r="G44" s="468"/>
      <c r="H44" s="468"/>
      <c r="I44" s="469">
        <v>57.129999999999995</v>
      </c>
      <c r="J44" s="470"/>
    </row>
    <row r="45" spans="1:13" ht="17.45" customHeight="1" x14ac:dyDescent="0.2">
      <c r="A45" s="136"/>
      <c r="B45" s="466" t="s">
        <v>117</v>
      </c>
      <c r="C45" s="467"/>
      <c r="D45" s="468"/>
      <c r="E45" s="468"/>
      <c r="F45" s="164"/>
      <c r="G45" s="100"/>
      <c r="H45" s="165"/>
      <c r="I45" s="471">
        <v>0</v>
      </c>
      <c r="J45" s="472"/>
    </row>
    <row r="46" spans="1:13" ht="17.45" customHeight="1" x14ac:dyDescent="0.2">
      <c r="A46" s="136"/>
      <c r="B46" s="439" t="s">
        <v>8</v>
      </c>
      <c r="C46" s="440"/>
      <c r="D46" s="441"/>
      <c r="E46" s="441"/>
      <c r="F46" s="441"/>
      <c r="G46" s="441"/>
      <c r="H46" s="441"/>
      <c r="I46" s="473">
        <v>57.129999999999995</v>
      </c>
      <c r="J46" s="474"/>
    </row>
    <row r="47" spans="1:13" ht="17.45" customHeight="1" x14ac:dyDescent="0.2">
      <c r="A47" s="148"/>
      <c r="B47" s="99"/>
      <c r="C47" s="142"/>
      <c r="D47" s="475" t="s">
        <v>9</v>
      </c>
      <c r="E47" s="475"/>
      <c r="F47" s="460"/>
      <c r="G47" s="460"/>
      <c r="H47" s="460"/>
      <c r="I47" s="460"/>
      <c r="J47" s="461"/>
    </row>
    <row r="48" spans="1:13" ht="30" customHeight="1" x14ac:dyDescent="0.2">
      <c r="A48" s="140"/>
      <c r="B48" s="170" t="s">
        <v>29</v>
      </c>
      <c r="C48" s="151" t="s">
        <v>66</v>
      </c>
      <c r="D48" s="198" t="s">
        <v>7</v>
      </c>
      <c r="E48" s="171" t="s">
        <v>0</v>
      </c>
      <c r="F48" s="171" t="s">
        <v>10</v>
      </c>
      <c r="G48" s="462" t="s">
        <v>11</v>
      </c>
      <c r="H48" s="462"/>
      <c r="I48" s="462" t="s">
        <v>12</v>
      </c>
      <c r="J48" s="463"/>
    </row>
    <row r="49" spans="1:10" x14ac:dyDescent="0.2">
      <c r="A49" s="140"/>
      <c r="B49" s="172" t="s">
        <v>135</v>
      </c>
      <c r="C49" s="154">
        <v>34515</v>
      </c>
      <c r="D49" s="191" t="s">
        <v>1163</v>
      </c>
      <c r="E49" s="155" t="s">
        <v>57</v>
      </c>
      <c r="F49" s="156">
        <v>1</v>
      </c>
      <c r="G49" s="428">
        <v>89.5</v>
      </c>
      <c r="H49" s="429" t="e">
        <v>#N/A</v>
      </c>
      <c r="I49" s="430">
        <v>89.5</v>
      </c>
      <c r="J49" s="431"/>
    </row>
    <row r="50" spans="1:10" ht="25.5" x14ac:dyDescent="0.2">
      <c r="A50" s="140"/>
      <c r="B50" s="157" t="s">
        <v>31</v>
      </c>
      <c r="C50" s="158">
        <v>43059</v>
      </c>
      <c r="D50" s="196" t="s">
        <v>1164</v>
      </c>
      <c r="E50" s="159" t="s">
        <v>1</v>
      </c>
      <c r="F50" s="160">
        <v>0.47099999999999997</v>
      </c>
      <c r="G50" s="432">
        <v>7.57</v>
      </c>
      <c r="H50" s="433" t="e">
        <v>#N/A</v>
      </c>
      <c r="I50" s="434">
        <v>3.57</v>
      </c>
      <c r="J50" s="435"/>
    </row>
    <row r="51" spans="1:10" ht="51" x14ac:dyDescent="0.2">
      <c r="A51" s="140"/>
      <c r="B51" s="157" t="s">
        <v>31</v>
      </c>
      <c r="C51" s="247">
        <v>34481</v>
      </c>
      <c r="D51" s="196" t="s">
        <v>2338</v>
      </c>
      <c r="E51" s="159" t="s">
        <v>58</v>
      </c>
      <c r="F51" s="160">
        <v>6.1199999999999997E-2</v>
      </c>
      <c r="G51" s="432">
        <v>680.14</v>
      </c>
      <c r="H51" s="433" t="e">
        <v>#N/A</v>
      </c>
      <c r="I51" s="434">
        <v>41.62</v>
      </c>
      <c r="J51" s="435"/>
    </row>
    <row r="52" spans="1:10" ht="17.45" customHeight="1" x14ac:dyDescent="0.2">
      <c r="A52" s="140"/>
      <c r="B52" s="175"/>
      <c r="C52" s="248"/>
      <c r="D52" s="199"/>
      <c r="E52" s="163"/>
      <c r="F52" s="163"/>
      <c r="G52" s="456"/>
      <c r="H52" s="457"/>
      <c r="I52" s="458"/>
      <c r="J52" s="459"/>
    </row>
    <row r="53" spans="1:10" ht="17.45" customHeight="1" x14ac:dyDescent="0.2">
      <c r="A53" s="136"/>
      <c r="B53" s="439" t="s">
        <v>13</v>
      </c>
      <c r="C53" s="440"/>
      <c r="D53" s="441"/>
      <c r="E53" s="441"/>
      <c r="F53" s="441"/>
      <c r="G53" s="441"/>
      <c r="H53" s="441"/>
      <c r="I53" s="446">
        <v>134.69</v>
      </c>
      <c r="J53" s="447"/>
    </row>
    <row r="54" spans="1:10" ht="17.45" customHeight="1" x14ac:dyDescent="0.2">
      <c r="A54" s="148"/>
      <c r="B54" s="166"/>
      <c r="C54" s="167"/>
      <c r="D54" s="460" t="s">
        <v>14</v>
      </c>
      <c r="E54" s="460"/>
      <c r="F54" s="460"/>
      <c r="G54" s="460"/>
      <c r="H54" s="460"/>
      <c r="I54" s="460"/>
      <c r="J54" s="461"/>
    </row>
    <row r="55" spans="1:10" ht="30" customHeight="1" x14ac:dyDescent="0.2">
      <c r="A55" s="140"/>
      <c r="B55" s="170" t="s">
        <v>29</v>
      </c>
      <c r="C55" s="176"/>
      <c r="D55" s="198" t="s">
        <v>7</v>
      </c>
      <c r="E55" s="171" t="s">
        <v>0</v>
      </c>
      <c r="F55" s="171" t="s">
        <v>10</v>
      </c>
      <c r="G55" s="462" t="s">
        <v>11</v>
      </c>
      <c r="H55" s="462"/>
      <c r="I55" s="462" t="s">
        <v>12</v>
      </c>
      <c r="J55" s="463"/>
    </row>
    <row r="56" spans="1:10" x14ac:dyDescent="0.2">
      <c r="A56" s="140"/>
      <c r="B56" s="153"/>
      <c r="C56" s="154"/>
      <c r="D56" s="191"/>
      <c r="E56" s="155"/>
      <c r="F56" s="156"/>
      <c r="G56" s="428"/>
      <c r="H56" s="429"/>
      <c r="I56" s="430">
        <v>0</v>
      </c>
      <c r="J56" s="431"/>
    </row>
    <row r="57" spans="1:10" x14ac:dyDescent="0.2">
      <c r="A57" s="140"/>
      <c r="B57" s="157"/>
      <c r="C57" s="158"/>
      <c r="D57" s="196"/>
      <c r="E57" s="159"/>
      <c r="F57" s="160"/>
      <c r="G57" s="432"/>
      <c r="H57" s="433"/>
      <c r="I57" s="434">
        <v>0</v>
      </c>
      <c r="J57" s="435"/>
    </row>
    <row r="58" spans="1:10" ht="17.45" customHeight="1" x14ac:dyDescent="0.2">
      <c r="A58" s="140"/>
      <c r="B58" s="175"/>
      <c r="C58" s="162"/>
      <c r="D58" s="199"/>
      <c r="E58" s="163"/>
      <c r="F58" s="177"/>
      <c r="G58" s="436"/>
      <c r="H58" s="437"/>
      <c r="I58" s="436"/>
      <c r="J58" s="438"/>
    </row>
    <row r="59" spans="1:10" ht="17.45" customHeight="1" x14ac:dyDescent="0.2">
      <c r="A59" s="136"/>
      <c r="B59" s="439" t="s">
        <v>15</v>
      </c>
      <c r="C59" s="440"/>
      <c r="D59" s="441"/>
      <c r="E59" s="441"/>
      <c r="F59" s="441"/>
      <c r="G59" s="441"/>
      <c r="H59" s="441"/>
      <c r="I59" s="442">
        <v>0</v>
      </c>
      <c r="J59" s="443"/>
    </row>
    <row r="60" spans="1:10" ht="17.45" customHeight="1" x14ac:dyDescent="0.2">
      <c r="A60" s="136"/>
      <c r="B60" s="439" t="s">
        <v>16</v>
      </c>
      <c r="C60" s="440"/>
      <c r="D60" s="441"/>
      <c r="E60" s="441"/>
      <c r="F60" s="441"/>
      <c r="G60" s="441"/>
      <c r="H60" s="441"/>
      <c r="I60" s="444">
        <v>191.82</v>
      </c>
      <c r="J60" s="445"/>
    </row>
    <row r="61" spans="1:10" ht="17.45" customHeight="1" x14ac:dyDescent="0.2">
      <c r="A61" s="140"/>
      <c r="B61" s="178"/>
      <c r="C61" s="179"/>
      <c r="D61" s="193" t="s">
        <v>17</v>
      </c>
      <c r="E61" s="180"/>
      <c r="F61" s="164">
        <v>0</v>
      </c>
      <c r="G61" s="168"/>
      <c r="H61" s="168"/>
      <c r="I61" s="446">
        <v>0</v>
      </c>
      <c r="J61" s="447"/>
    </row>
    <row r="62" spans="1:10" ht="17.45" customHeight="1" x14ac:dyDescent="0.2">
      <c r="A62" s="136"/>
      <c r="B62" s="439" t="s">
        <v>18</v>
      </c>
      <c r="C62" s="440"/>
      <c r="D62" s="441"/>
      <c r="E62" s="441"/>
      <c r="F62" s="441"/>
      <c r="G62" s="441"/>
      <c r="H62" s="441"/>
      <c r="I62" s="448">
        <v>191.82</v>
      </c>
      <c r="J62" s="449"/>
    </row>
    <row r="63" spans="1:10" ht="17.45" customHeight="1" x14ac:dyDescent="0.2">
      <c r="A63" s="141"/>
      <c r="B63" s="450" t="s">
        <v>1162</v>
      </c>
      <c r="C63" s="451"/>
      <c r="D63" s="451"/>
      <c r="E63" s="451"/>
      <c r="F63" s="451"/>
      <c r="G63" s="451"/>
      <c r="H63" s="451"/>
      <c r="I63" s="451"/>
      <c r="J63" s="452"/>
    </row>
    <row r="64" spans="1:10" ht="17.45" customHeight="1" thickBot="1" x14ac:dyDescent="0.25">
      <c r="A64" s="140"/>
      <c r="B64" s="453"/>
      <c r="C64" s="454"/>
      <c r="D64" s="454"/>
      <c r="E64" s="454"/>
      <c r="F64" s="454"/>
      <c r="G64" s="454"/>
      <c r="H64" s="454"/>
      <c r="I64" s="454"/>
      <c r="J64" s="455"/>
    </row>
    <row r="65" spans="1:13" ht="13.5" thickBot="1" x14ac:dyDescent="0.25"/>
    <row r="66" spans="1:13" ht="17.45" customHeight="1" x14ac:dyDescent="0.2">
      <c r="A66" s="136"/>
      <c r="B66" s="476" t="s">
        <v>25</v>
      </c>
      <c r="C66" s="477"/>
      <c r="D66" s="477"/>
      <c r="E66" s="477"/>
      <c r="F66" s="477"/>
      <c r="G66" s="477"/>
      <c r="H66" s="477"/>
      <c r="I66" s="477"/>
      <c r="J66" s="478"/>
      <c r="K66" s="190"/>
      <c r="L66" s="137"/>
    </row>
    <row r="67" spans="1:13" ht="17.45" customHeight="1" x14ac:dyDescent="0.2">
      <c r="A67" s="141"/>
      <c r="B67" s="144" t="s">
        <v>43</v>
      </c>
      <c r="C67" s="241" t="s">
        <v>108</v>
      </c>
      <c r="D67" s="193"/>
      <c r="E67" s="240"/>
      <c r="F67" s="143" t="s">
        <v>113</v>
      </c>
      <c r="G67" s="479"/>
      <c r="H67" s="479"/>
      <c r="I67" s="145"/>
      <c r="J67" s="249">
        <v>44682</v>
      </c>
      <c r="K67" s="190"/>
      <c r="L67" s="137"/>
    </row>
    <row r="68" spans="1:13" ht="17.45" customHeight="1" x14ac:dyDescent="0.2">
      <c r="A68" s="141"/>
      <c r="B68" s="144" t="s">
        <v>4</v>
      </c>
      <c r="C68" s="480" t="s">
        <v>1168</v>
      </c>
      <c r="D68" s="480" t="e">
        <v>#N/A</v>
      </c>
      <c r="E68" s="480" t="e">
        <v>#N/A</v>
      </c>
      <c r="F68" s="480" t="e">
        <v>#N/A</v>
      </c>
      <c r="G68" s="480" t="e">
        <v>#N/A</v>
      </c>
      <c r="H68" s="480" t="e">
        <v>#N/A</v>
      </c>
      <c r="I68" s="480" t="e">
        <v>#N/A</v>
      </c>
      <c r="J68" s="481" t="e">
        <v>#N/A</v>
      </c>
      <c r="K68" s="185" t="s">
        <v>114</v>
      </c>
      <c r="L68" s="186" t="s">
        <v>89</v>
      </c>
      <c r="M68" s="187" t="s">
        <v>115</v>
      </c>
    </row>
    <row r="69" spans="1:13" ht="17.45" customHeight="1" x14ac:dyDescent="0.2">
      <c r="A69" s="140" t="s">
        <v>1167</v>
      </c>
      <c r="B69" s="146" t="s">
        <v>46</v>
      </c>
      <c r="C69" s="239" t="s">
        <v>1167</v>
      </c>
      <c r="D69" s="194" t="s">
        <v>45</v>
      </c>
      <c r="E69" s="482" t="s">
        <v>135</v>
      </c>
      <c r="F69" s="482"/>
      <c r="G69" s="482"/>
      <c r="H69" s="483"/>
      <c r="I69" s="181" t="s">
        <v>116</v>
      </c>
      <c r="J69" s="183" t="s">
        <v>57</v>
      </c>
      <c r="K69" s="184">
        <v>57.129999999999995</v>
      </c>
      <c r="L69" s="188">
        <v>169.38</v>
      </c>
      <c r="M69" s="189">
        <v>0</v>
      </c>
    </row>
    <row r="70" spans="1:13" ht="17.45" customHeight="1" x14ac:dyDescent="0.2">
      <c r="A70" s="148"/>
      <c r="B70" s="238"/>
      <c r="C70" s="239"/>
      <c r="D70" s="484" t="s">
        <v>6</v>
      </c>
      <c r="E70" s="485"/>
      <c r="F70" s="485"/>
      <c r="G70" s="486"/>
      <c r="H70" s="485"/>
      <c r="I70" s="485"/>
      <c r="J70" s="487"/>
      <c r="K70" s="182"/>
    </row>
    <row r="71" spans="1:13" ht="15" customHeight="1" x14ac:dyDescent="0.2">
      <c r="A71" s="140"/>
      <c r="B71" s="150" t="s">
        <v>29</v>
      </c>
      <c r="C71" s="151" t="s">
        <v>66</v>
      </c>
      <c r="D71" s="195" t="s">
        <v>7</v>
      </c>
      <c r="E71" s="152" t="s">
        <v>30</v>
      </c>
      <c r="F71" s="152" t="s">
        <v>112</v>
      </c>
      <c r="G71" s="488" t="s">
        <v>110</v>
      </c>
      <c r="H71" s="489"/>
      <c r="I71" s="488" t="s">
        <v>111</v>
      </c>
      <c r="J71" s="490"/>
      <c r="K71" s="182"/>
    </row>
    <row r="72" spans="1:13" ht="25.5" x14ac:dyDescent="0.2">
      <c r="A72" s="140"/>
      <c r="B72" s="172" t="s">
        <v>100</v>
      </c>
      <c r="C72" s="154">
        <v>88239</v>
      </c>
      <c r="D72" s="191" t="s">
        <v>50</v>
      </c>
      <c r="E72" s="155" t="s">
        <v>48</v>
      </c>
      <c r="F72" s="156">
        <v>0.16</v>
      </c>
      <c r="G72" s="428">
        <v>32.729999999999997</v>
      </c>
      <c r="H72" s="429" t="e">
        <v>#N/A</v>
      </c>
      <c r="I72" s="430">
        <v>5.24</v>
      </c>
      <c r="J72" s="431"/>
    </row>
    <row r="73" spans="1:13" ht="25.5" x14ac:dyDescent="0.2">
      <c r="A73" s="140"/>
      <c r="B73" s="157" t="s">
        <v>100</v>
      </c>
      <c r="C73" s="158">
        <v>88262</v>
      </c>
      <c r="D73" s="196" t="s">
        <v>54</v>
      </c>
      <c r="E73" s="159" t="s">
        <v>48</v>
      </c>
      <c r="F73" s="160">
        <v>0.16</v>
      </c>
      <c r="G73" s="432">
        <v>40.68</v>
      </c>
      <c r="H73" s="433" t="e">
        <v>#N/A</v>
      </c>
      <c r="I73" s="434">
        <v>6.51</v>
      </c>
      <c r="J73" s="435"/>
    </row>
    <row r="74" spans="1:13" x14ac:dyDescent="0.2">
      <c r="A74" s="140"/>
      <c r="B74" s="157" t="s">
        <v>100</v>
      </c>
      <c r="C74" s="158">
        <v>88309</v>
      </c>
      <c r="D74" s="196" t="s">
        <v>49</v>
      </c>
      <c r="E74" s="159" t="s">
        <v>48</v>
      </c>
      <c r="F74" s="160">
        <v>0.4</v>
      </c>
      <c r="G74" s="432">
        <v>41.17</v>
      </c>
      <c r="H74" s="433" t="e">
        <v>#N/A</v>
      </c>
      <c r="I74" s="434">
        <v>16.47</v>
      </c>
      <c r="J74" s="435"/>
    </row>
    <row r="75" spans="1:13" x14ac:dyDescent="0.2">
      <c r="A75" s="140"/>
      <c r="B75" s="157" t="s">
        <v>100</v>
      </c>
      <c r="C75" s="158">
        <v>88316</v>
      </c>
      <c r="D75" s="196" t="s">
        <v>56</v>
      </c>
      <c r="E75" s="159" t="s">
        <v>48</v>
      </c>
      <c r="F75" s="160">
        <v>0.9</v>
      </c>
      <c r="G75" s="432">
        <v>32.119999999999997</v>
      </c>
      <c r="H75" s="433" t="e">
        <v>#N/A</v>
      </c>
      <c r="I75" s="434">
        <v>28.91</v>
      </c>
      <c r="J75" s="435"/>
    </row>
    <row r="76" spans="1:13" ht="17.45" customHeight="1" x14ac:dyDescent="0.2">
      <c r="A76" s="140"/>
      <c r="B76" s="161"/>
      <c r="C76" s="162"/>
      <c r="D76" s="197"/>
      <c r="E76" s="163"/>
      <c r="F76" s="163"/>
      <c r="G76" s="456"/>
      <c r="H76" s="457"/>
      <c r="I76" s="464"/>
      <c r="J76" s="465"/>
    </row>
    <row r="77" spans="1:13" ht="17.45" customHeight="1" x14ac:dyDescent="0.2">
      <c r="A77" s="136"/>
      <c r="B77" s="466" t="s">
        <v>44</v>
      </c>
      <c r="C77" s="467"/>
      <c r="D77" s="468"/>
      <c r="E77" s="468"/>
      <c r="F77" s="468"/>
      <c r="G77" s="468"/>
      <c r="H77" s="468"/>
      <c r="I77" s="469">
        <v>57.129999999999995</v>
      </c>
      <c r="J77" s="470"/>
    </row>
    <row r="78" spans="1:13" ht="17.45" customHeight="1" x14ac:dyDescent="0.2">
      <c r="A78" s="136"/>
      <c r="B78" s="466" t="s">
        <v>117</v>
      </c>
      <c r="C78" s="467"/>
      <c r="D78" s="468"/>
      <c r="E78" s="468"/>
      <c r="F78" s="164"/>
      <c r="G78" s="244"/>
      <c r="H78" s="242"/>
      <c r="I78" s="471">
        <v>0</v>
      </c>
      <c r="J78" s="472"/>
    </row>
    <row r="79" spans="1:13" ht="17.45" customHeight="1" x14ac:dyDescent="0.2">
      <c r="A79" s="136"/>
      <c r="B79" s="439" t="s">
        <v>8</v>
      </c>
      <c r="C79" s="440"/>
      <c r="D79" s="441"/>
      <c r="E79" s="441"/>
      <c r="F79" s="441"/>
      <c r="G79" s="441"/>
      <c r="H79" s="441"/>
      <c r="I79" s="473">
        <v>57.129999999999995</v>
      </c>
      <c r="J79" s="474"/>
    </row>
    <row r="80" spans="1:13" ht="17.45" customHeight="1" x14ac:dyDescent="0.2">
      <c r="A80" s="148"/>
      <c r="B80" s="243"/>
      <c r="C80" s="142"/>
      <c r="D80" s="475" t="s">
        <v>9</v>
      </c>
      <c r="E80" s="475"/>
      <c r="F80" s="460"/>
      <c r="G80" s="460"/>
      <c r="H80" s="460"/>
      <c r="I80" s="460"/>
      <c r="J80" s="461"/>
    </row>
    <row r="81" spans="1:10" ht="30" customHeight="1" x14ac:dyDescent="0.2">
      <c r="A81" s="140"/>
      <c r="B81" s="170" t="s">
        <v>29</v>
      </c>
      <c r="C81" s="151" t="s">
        <v>66</v>
      </c>
      <c r="D81" s="198" t="s">
        <v>7</v>
      </c>
      <c r="E81" s="171" t="s">
        <v>0</v>
      </c>
      <c r="F81" s="171" t="s">
        <v>10</v>
      </c>
      <c r="G81" s="462" t="s">
        <v>11</v>
      </c>
      <c r="H81" s="462"/>
      <c r="I81" s="462" t="s">
        <v>12</v>
      </c>
      <c r="J81" s="463"/>
    </row>
    <row r="82" spans="1:10" x14ac:dyDescent="0.2">
      <c r="A82" s="140"/>
      <c r="B82" s="172" t="s">
        <v>135</v>
      </c>
      <c r="C82" s="154">
        <v>34515</v>
      </c>
      <c r="D82" s="191" t="s">
        <v>1163</v>
      </c>
      <c r="E82" s="155" t="s">
        <v>57</v>
      </c>
      <c r="F82" s="156">
        <v>1</v>
      </c>
      <c r="G82" s="428">
        <v>89.5</v>
      </c>
      <c r="H82" s="429" t="e">
        <v>#N/A</v>
      </c>
      <c r="I82" s="430">
        <v>89.5</v>
      </c>
      <c r="J82" s="431"/>
    </row>
    <row r="83" spans="1:10" ht="25.5" x14ac:dyDescent="0.2">
      <c r="A83" s="140"/>
      <c r="B83" s="157" t="s">
        <v>31</v>
      </c>
      <c r="C83" s="158">
        <v>43059</v>
      </c>
      <c r="D83" s="196" t="s">
        <v>1164</v>
      </c>
      <c r="E83" s="159" t="s">
        <v>1</v>
      </c>
      <c r="F83" s="160">
        <v>0.47099999999999997</v>
      </c>
      <c r="G83" s="432">
        <v>7.57</v>
      </c>
      <c r="H83" s="433" t="e">
        <v>#N/A</v>
      </c>
      <c r="I83" s="434">
        <v>3.57</v>
      </c>
      <c r="J83" s="435"/>
    </row>
    <row r="84" spans="1:10" ht="51" x14ac:dyDescent="0.2">
      <c r="A84" s="140"/>
      <c r="B84" s="157" t="s">
        <v>31</v>
      </c>
      <c r="C84" s="247">
        <v>34481</v>
      </c>
      <c r="D84" s="196" t="s">
        <v>2338</v>
      </c>
      <c r="E84" s="159" t="s">
        <v>58</v>
      </c>
      <c r="F84" s="160">
        <v>0.11220000000000001</v>
      </c>
      <c r="G84" s="432">
        <v>680.14</v>
      </c>
      <c r="H84" s="433" t="e">
        <v>#N/A</v>
      </c>
      <c r="I84" s="434">
        <v>76.31</v>
      </c>
      <c r="J84" s="435"/>
    </row>
    <row r="85" spans="1:10" ht="17.45" customHeight="1" x14ac:dyDescent="0.2">
      <c r="A85" s="140"/>
      <c r="B85" s="175"/>
      <c r="C85" s="248"/>
      <c r="D85" s="199"/>
      <c r="E85" s="163"/>
      <c r="F85" s="163"/>
      <c r="G85" s="456"/>
      <c r="H85" s="457"/>
      <c r="I85" s="458"/>
      <c r="J85" s="459"/>
    </row>
    <row r="86" spans="1:10" ht="17.45" customHeight="1" x14ac:dyDescent="0.2">
      <c r="A86" s="136"/>
      <c r="B86" s="439" t="s">
        <v>13</v>
      </c>
      <c r="C86" s="440"/>
      <c r="D86" s="441"/>
      <c r="E86" s="441"/>
      <c r="F86" s="441"/>
      <c r="G86" s="441"/>
      <c r="H86" s="441"/>
      <c r="I86" s="446">
        <v>169.38</v>
      </c>
      <c r="J86" s="447"/>
    </row>
    <row r="87" spans="1:10" ht="17.45" customHeight="1" x14ac:dyDescent="0.2">
      <c r="A87" s="148"/>
      <c r="B87" s="238"/>
      <c r="C87" s="239"/>
      <c r="D87" s="460" t="s">
        <v>14</v>
      </c>
      <c r="E87" s="460"/>
      <c r="F87" s="460"/>
      <c r="G87" s="460"/>
      <c r="H87" s="460"/>
      <c r="I87" s="460"/>
      <c r="J87" s="461"/>
    </row>
    <row r="88" spans="1:10" ht="30" customHeight="1" x14ac:dyDescent="0.2">
      <c r="A88" s="140"/>
      <c r="B88" s="170" t="s">
        <v>29</v>
      </c>
      <c r="C88" s="176"/>
      <c r="D88" s="198" t="s">
        <v>7</v>
      </c>
      <c r="E88" s="171" t="s">
        <v>0</v>
      </c>
      <c r="F88" s="171" t="s">
        <v>10</v>
      </c>
      <c r="G88" s="462" t="s">
        <v>11</v>
      </c>
      <c r="H88" s="462"/>
      <c r="I88" s="462" t="s">
        <v>12</v>
      </c>
      <c r="J88" s="463"/>
    </row>
    <row r="89" spans="1:10" x14ac:dyDescent="0.2">
      <c r="A89" s="140"/>
      <c r="B89" s="153"/>
      <c r="C89" s="154"/>
      <c r="D89" s="191"/>
      <c r="E89" s="155"/>
      <c r="F89" s="156"/>
      <c r="G89" s="428"/>
      <c r="H89" s="429"/>
      <c r="I89" s="430">
        <v>0</v>
      </c>
      <c r="J89" s="431"/>
    </row>
    <row r="90" spans="1:10" x14ac:dyDescent="0.2">
      <c r="A90" s="140"/>
      <c r="B90" s="157"/>
      <c r="C90" s="158"/>
      <c r="D90" s="196"/>
      <c r="E90" s="159"/>
      <c r="F90" s="160"/>
      <c r="G90" s="432"/>
      <c r="H90" s="433"/>
      <c r="I90" s="434">
        <v>0</v>
      </c>
      <c r="J90" s="435"/>
    </row>
    <row r="91" spans="1:10" ht="17.45" customHeight="1" x14ac:dyDescent="0.2">
      <c r="A91" s="140"/>
      <c r="B91" s="175"/>
      <c r="C91" s="162"/>
      <c r="D91" s="199"/>
      <c r="E91" s="163"/>
      <c r="F91" s="177"/>
      <c r="G91" s="436"/>
      <c r="H91" s="437"/>
      <c r="I91" s="436"/>
      <c r="J91" s="438"/>
    </row>
    <row r="92" spans="1:10" ht="17.45" customHeight="1" x14ac:dyDescent="0.2">
      <c r="A92" s="136"/>
      <c r="B92" s="439" t="s">
        <v>15</v>
      </c>
      <c r="C92" s="440"/>
      <c r="D92" s="441"/>
      <c r="E92" s="441"/>
      <c r="F92" s="441"/>
      <c r="G92" s="441"/>
      <c r="H92" s="441"/>
      <c r="I92" s="442">
        <v>0</v>
      </c>
      <c r="J92" s="443"/>
    </row>
    <row r="93" spans="1:10" ht="17.45" customHeight="1" x14ac:dyDescent="0.2">
      <c r="A93" s="136"/>
      <c r="B93" s="439" t="s">
        <v>16</v>
      </c>
      <c r="C93" s="440"/>
      <c r="D93" s="441"/>
      <c r="E93" s="441"/>
      <c r="F93" s="441"/>
      <c r="G93" s="441"/>
      <c r="H93" s="441"/>
      <c r="I93" s="444">
        <v>226.51</v>
      </c>
      <c r="J93" s="445"/>
    </row>
    <row r="94" spans="1:10" ht="17.45" customHeight="1" x14ac:dyDescent="0.2">
      <c r="A94" s="140"/>
      <c r="B94" s="178"/>
      <c r="C94" s="179"/>
      <c r="D94" s="193" t="s">
        <v>17</v>
      </c>
      <c r="E94" s="180"/>
      <c r="F94" s="164">
        <v>0</v>
      </c>
      <c r="G94" s="240"/>
      <c r="H94" s="240"/>
      <c r="I94" s="446">
        <v>0</v>
      </c>
      <c r="J94" s="447"/>
    </row>
    <row r="95" spans="1:10" ht="17.45" customHeight="1" x14ac:dyDescent="0.2">
      <c r="A95" s="136"/>
      <c r="B95" s="439" t="s">
        <v>18</v>
      </c>
      <c r="C95" s="440"/>
      <c r="D95" s="441"/>
      <c r="E95" s="441"/>
      <c r="F95" s="441"/>
      <c r="G95" s="441"/>
      <c r="H95" s="441"/>
      <c r="I95" s="448">
        <v>226.51</v>
      </c>
      <c r="J95" s="449"/>
    </row>
    <row r="96" spans="1:10" ht="17.45" customHeight="1" x14ac:dyDescent="0.2">
      <c r="A96" s="141"/>
      <c r="B96" s="450" t="s">
        <v>1162</v>
      </c>
      <c r="C96" s="451"/>
      <c r="D96" s="451"/>
      <c r="E96" s="451"/>
      <c r="F96" s="451"/>
      <c r="G96" s="451"/>
      <c r="H96" s="451"/>
      <c r="I96" s="451"/>
      <c r="J96" s="452"/>
    </row>
    <row r="97" spans="1:13" ht="17.45" customHeight="1" thickBot="1" x14ac:dyDescent="0.25">
      <c r="A97" s="140"/>
      <c r="B97" s="453"/>
      <c r="C97" s="454"/>
      <c r="D97" s="454"/>
      <c r="E97" s="454"/>
      <c r="F97" s="454"/>
      <c r="G97" s="454"/>
      <c r="H97" s="454"/>
      <c r="I97" s="454"/>
      <c r="J97" s="455"/>
    </row>
    <row r="98" spans="1:13" ht="13.5" thickBot="1" x14ac:dyDescent="0.25"/>
    <row r="99" spans="1:13" ht="17.45" customHeight="1" x14ac:dyDescent="0.2">
      <c r="A99" s="136"/>
      <c r="B99" s="476" t="s">
        <v>25</v>
      </c>
      <c r="C99" s="477"/>
      <c r="D99" s="477"/>
      <c r="E99" s="477"/>
      <c r="F99" s="477"/>
      <c r="G99" s="477"/>
      <c r="H99" s="477"/>
      <c r="I99" s="477"/>
      <c r="J99" s="478"/>
      <c r="K99" s="190"/>
      <c r="L99" s="137"/>
    </row>
    <row r="100" spans="1:13" ht="17.45" customHeight="1" x14ac:dyDescent="0.2">
      <c r="A100" s="141"/>
      <c r="B100" s="144" t="s">
        <v>43</v>
      </c>
      <c r="C100" s="241" t="s">
        <v>108</v>
      </c>
      <c r="D100" s="193"/>
      <c r="E100" s="240"/>
      <c r="F100" s="143" t="s">
        <v>113</v>
      </c>
      <c r="G100" s="479"/>
      <c r="H100" s="479"/>
      <c r="I100" s="145"/>
      <c r="J100" s="249">
        <v>44682</v>
      </c>
      <c r="K100" s="190"/>
      <c r="L100" s="137"/>
    </row>
    <row r="101" spans="1:13" ht="17.45" customHeight="1" x14ac:dyDescent="0.2">
      <c r="A101" s="141"/>
      <c r="B101" s="144" t="s">
        <v>4</v>
      </c>
      <c r="C101" s="480" t="s">
        <v>2359</v>
      </c>
      <c r="D101" s="480" t="e">
        <v>#N/A</v>
      </c>
      <c r="E101" s="480" t="e">
        <v>#N/A</v>
      </c>
      <c r="F101" s="480" t="e">
        <v>#N/A</v>
      </c>
      <c r="G101" s="480" t="e">
        <v>#N/A</v>
      </c>
      <c r="H101" s="480" t="e">
        <v>#N/A</v>
      </c>
      <c r="I101" s="480" t="e">
        <v>#N/A</v>
      </c>
      <c r="J101" s="481" t="e">
        <v>#N/A</v>
      </c>
      <c r="K101" s="185" t="s">
        <v>114</v>
      </c>
      <c r="L101" s="186" t="s">
        <v>89</v>
      </c>
      <c r="M101" s="187" t="s">
        <v>115</v>
      </c>
    </row>
    <row r="102" spans="1:13" ht="17.45" customHeight="1" x14ac:dyDescent="0.2">
      <c r="A102" s="140" t="s">
        <v>1169</v>
      </c>
      <c r="B102" s="146" t="s">
        <v>46</v>
      </c>
      <c r="C102" s="239" t="s">
        <v>1169</v>
      </c>
      <c r="D102" s="194" t="s">
        <v>45</v>
      </c>
      <c r="E102" s="482" t="s">
        <v>135</v>
      </c>
      <c r="F102" s="482"/>
      <c r="G102" s="482"/>
      <c r="H102" s="483"/>
      <c r="I102" s="181" t="s">
        <v>116</v>
      </c>
      <c r="J102" s="183" t="s">
        <v>2</v>
      </c>
      <c r="K102" s="184">
        <v>0</v>
      </c>
      <c r="L102" s="188">
        <v>37.26</v>
      </c>
      <c r="M102" s="189">
        <v>0</v>
      </c>
    </row>
    <row r="103" spans="1:13" ht="17.45" customHeight="1" x14ac:dyDescent="0.2">
      <c r="A103" s="148"/>
      <c r="B103" s="238"/>
      <c r="C103" s="239"/>
      <c r="D103" s="484" t="s">
        <v>6</v>
      </c>
      <c r="E103" s="485"/>
      <c r="F103" s="485"/>
      <c r="G103" s="486"/>
      <c r="H103" s="485"/>
      <c r="I103" s="485"/>
      <c r="J103" s="487"/>
      <c r="K103" s="182"/>
    </row>
    <row r="104" spans="1:13" ht="15" customHeight="1" x14ac:dyDescent="0.2">
      <c r="A104" s="140"/>
      <c r="B104" s="150" t="s">
        <v>29</v>
      </c>
      <c r="C104" s="151" t="s">
        <v>66</v>
      </c>
      <c r="D104" s="195" t="s">
        <v>7</v>
      </c>
      <c r="E104" s="152" t="s">
        <v>30</v>
      </c>
      <c r="F104" s="152" t="s">
        <v>112</v>
      </c>
      <c r="G104" s="488" t="s">
        <v>110</v>
      </c>
      <c r="H104" s="489"/>
      <c r="I104" s="488" t="s">
        <v>111</v>
      </c>
      <c r="J104" s="490"/>
      <c r="K104" s="182"/>
    </row>
    <row r="105" spans="1:13" x14ac:dyDescent="0.2">
      <c r="A105" s="140"/>
      <c r="B105" s="172"/>
      <c r="C105" s="154"/>
      <c r="D105" s="191"/>
      <c r="E105" s="155"/>
      <c r="F105" s="156"/>
      <c r="G105" s="428"/>
      <c r="H105" s="429"/>
      <c r="I105" s="430"/>
      <c r="J105" s="431"/>
    </row>
    <row r="106" spans="1:13" ht="17.45" customHeight="1" x14ac:dyDescent="0.2">
      <c r="A106" s="140"/>
      <c r="B106" s="161"/>
      <c r="C106" s="162"/>
      <c r="D106" s="197"/>
      <c r="E106" s="163"/>
      <c r="F106" s="163"/>
      <c r="G106" s="456"/>
      <c r="H106" s="457"/>
      <c r="I106" s="464"/>
      <c r="J106" s="465"/>
    </row>
    <row r="107" spans="1:13" ht="17.45" customHeight="1" x14ac:dyDescent="0.2">
      <c r="A107" s="136"/>
      <c r="B107" s="466" t="s">
        <v>44</v>
      </c>
      <c r="C107" s="467"/>
      <c r="D107" s="468"/>
      <c r="E107" s="468"/>
      <c r="F107" s="468"/>
      <c r="G107" s="468"/>
      <c r="H107" s="468"/>
      <c r="I107" s="469">
        <v>0</v>
      </c>
      <c r="J107" s="470"/>
    </row>
    <row r="108" spans="1:13" ht="17.45" customHeight="1" x14ac:dyDescent="0.2">
      <c r="A108" s="136"/>
      <c r="B108" s="466" t="s">
        <v>117</v>
      </c>
      <c r="C108" s="467"/>
      <c r="D108" s="468"/>
      <c r="E108" s="468"/>
      <c r="F108" s="164"/>
      <c r="G108" s="244"/>
      <c r="H108" s="242"/>
      <c r="I108" s="471">
        <v>0</v>
      </c>
      <c r="J108" s="472"/>
    </row>
    <row r="109" spans="1:13" ht="17.45" customHeight="1" x14ac:dyDescent="0.2">
      <c r="A109" s="136"/>
      <c r="B109" s="439" t="s">
        <v>8</v>
      </c>
      <c r="C109" s="440"/>
      <c r="D109" s="441"/>
      <c r="E109" s="441"/>
      <c r="F109" s="441"/>
      <c r="G109" s="441"/>
      <c r="H109" s="441"/>
      <c r="I109" s="473">
        <v>0</v>
      </c>
      <c r="J109" s="474"/>
    </row>
    <row r="110" spans="1:13" ht="17.45" customHeight="1" x14ac:dyDescent="0.2">
      <c r="A110" s="148"/>
      <c r="B110" s="243"/>
      <c r="C110" s="142"/>
      <c r="D110" s="475" t="s">
        <v>9</v>
      </c>
      <c r="E110" s="475"/>
      <c r="F110" s="460"/>
      <c r="G110" s="460"/>
      <c r="H110" s="460"/>
      <c r="I110" s="460"/>
      <c r="J110" s="461"/>
    </row>
    <row r="111" spans="1:13" ht="30" customHeight="1" x14ac:dyDescent="0.2">
      <c r="A111" s="140"/>
      <c r="B111" s="170" t="s">
        <v>29</v>
      </c>
      <c r="C111" s="151" t="s">
        <v>66</v>
      </c>
      <c r="D111" s="198" t="s">
        <v>7</v>
      </c>
      <c r="E111" s="171" t="s">
        <v>0</v>
      </c>
      <c r="F111" s="171" t="s">
        <v>10</v>
      </c>
      <c r="G111" s="462" t="s">
        <v>11</v>
      </c>
      <c r="H111" s="462"/>
      <c r="I111" s="462" t="s">
        <v>12</v>
      </c>
      <c r="J111" s="463"/>
    </row>
    <row r="112" spans="1:13" x14ac:dyDescent="0.2">
      <c r="A112" s="140"/>
      <c r="B112" s="172" t="s">
        <v>31</v>
      </c>
      <c r="C112" s="154">
        <v>1379</v>
      </c>
      <c r="D112" s="191" t="s">
        <v>1173</v>
      </c>
      <c r="E112" s="155" t="s">
        <v>1</v>
      </c>
      <c r="F112" s="156">
        <v>45</v>
      </c>
      <c r="G112" s="428">
        <v>0.66</v>
      </c>
      <c r="H112" s="429" t="e">
        <v>#N/A</v>
      </c>
      <c r="I112" s="430">
        <v>29.7</v>
      </c>
      <c r="J112" s="431"/>
    </row>
    <row r="113" spans="1:12" x14ac:dyDescent="0.2">
      <c r="A113" s="140"/>
      <c r="B113" s="157" t="s">
        <v>31</v>
      </c>
      <c r="C113" s="158">
        <v>370</v>
      </c>
      <c r="D113" s="196" t="s">
        <v>1174</v>
      </c>
      <c r="E113" s="159" t="s">
        <v>58</v>
      </c>
      <c r="F113" s="160">
        <v>7.1999999999999995E-2</v>
      </c>
      <c r="G113" s="432">
        <v>105</v>
      </c>
      <c r="H113" s="433" t="e">
        <v>#N/A</v>
      </c>
      <c r="I113" s="434">
        <v>7.56</v>
      </c>
      <c r="J113" s="435"/>
    </row>
    <row r="114" spans="1:12" ht="17.45" customHeight="1" x14ac:dyDescent="0.2">
      <c r="A114" s="140"/>
      <c r="B114" s="175"/>
      <c r="C114" s="248"/>
      <c r="D114" s="199"/>
      <c r="E114" s="163"/>
      <c r="F114" s="163"/>
      <c r="G114" s="456"/>
      <c r="H114" s="457"/>
      <c r="I114" s="458"/>
      <c r="J114" s="459"/>
    </row>
    <row r="115" spans="1:12" ht="17.45" customHeight="1" x14ac:dyDescent="0.2">
      <c r="A115" s="136"/>
      <c r="B115" s="439" t="s">
        <v>13</v>
      </c>
      <c r="C115" s="440"/>
      <c r="D115" s="441"/>
      <c r="E115" s="441"/>
      <c r="F115" s="441"/>
      <c r="G115" s="441"/>
      <c r="H115" s="441"/>
      <c r="I115" s="446">
        <v>37.26</v>
      </c>
      <c r="J115" s="447"/>
    </row>
    <row r="116" spans="1:12" ht="17.45" customHeight="1" x14ac:dyDescent="0.2">
      <c r="A116" s="148"/>
      <c r="B116" s="238"/>
      <c r="C116" s="239"/>
      <c r="D116" s="460" t="s">
        <v>14</v>
      </c>
      <c r="E116" s="460"/>
      <c r="F116" s="460"/>
      <c r="G116" s="460"/>
      <c r="H116" s="460"/>
      <c r="I116" s="460"/>
      <c r="J116" s="461"/>
    </row>
    <row r="117" spans="1:12" ht="30" customHeight="1" x14ac:dyDescent="0.2">
      <c r="A117" s="140"/>
      <c r="B117" s="170" t="s">
        <v>29</v>
      </c>
      <c r="C117" s="176"/>
      <c r="D117" s="198" t="s">
        <v>7</v>
      </c>
      <c r="E117" s="171" t="s">
        <v>0</v>
      </c>
      <c r="F117" s="171" t="s">
        <v>10</v>
      </c>
      <c r="G117" s="462" t="s">
        <v>11</v>
      </c>
      <c r="H117" s="462"/>
      <c r="I117" s="462" t="s">
        <v>12</v>
      </c>
      <c r="J117" s="463"/>
    </row>
    <row r="118" spans="1:12" x14ac:dyDescent="0.2">
      <c r="A118" s="140"/>
      <c r="B118" s="153"/>
      <c r="C118" s="154"/>
      <c r="D118" s="191"/>
      <c r="E118" s="155"/>
      <c r="F118" s="156"/>
      <c r="G118" s="428"/>
      <c r="H118" s="429"/>
      <c r="I118" s="430"/>
      <c r="J118" s="431"/>
    </row>
    <row r="119" spans="1:12" x14ac:dyDescent="0.2">
      <c r="A119" s="140"/>
      <c r="B119" s="157"/>
      <c r="C119" s="158"/>
      <c r="D119" s="196"/>
      <c r="E119" s="159"/>
      <c r="F119" s="160"/>
      <c r="G119" s="432"/>
      <c r="H119" s="433"/>
      <c r="I119" s="434"/>
      <c r="J119" s="435"/>
    </row>
    <row r="120" spans="1:12" ht="17.45" customHeight="1" x14ac:dyDescent="0.2">
      <c r="A120" s="140"/>
      <c r="B120" s="175"/>
      <c r="C120" s="162"/>
      <c r="D120" s="199"/>
      <c r="E120" s="163"/>
      <c r="F120" s="177"/>
      <c r="G120" s="436"/>
      <c r="H120" s="437"/>
      <c r="I120" s="436"/>
      <c r="J120" s="438"/>
    </row>
    <row r="121" spans="1:12" ht="17.45" customHeight="1" x14ac:dyDescent="0.2">
      <c r="A121" s="136"/>
      <c r="B121" s="439" t="s">
        <v>15</v>
      </c>
      <c r="C121" s="440"/>
      <c r="D121" s="441"/>
      <c r="E121" s="441"/>
      <c r="F121" s="441"/>
      <c r="G121" s="441"/>
      <c r="H121" s="441"/>
      <c r="I121" s="442">
        <v>0</v>
      </c>
      <c r="J121" s="443"/>
    </row>
    <row r="122" spans="1:12" ht="17.45" customHeight="1" x14ac:dyDescent="0.2">
      <c r="A122" s="136"/>
      <c r="B122" s="439" t="s">
        <v>16</v>
      </c>
      <c r="C122" s="440"/>
      <c r="D122" s="441"/>
      <c r="E122" s="441"/>
      <c r="F122" s="441"/>
      <c r="G122" s="441"/>
      <c r="H122" s="441"/>
      <c r="I122" s="444">
        <v>37.26</v>
      </c>
      <c r="J122" s="445"/>
    </row>
    <row r="123" spans="1:12" ht="17.45" customHeight="1" x14ac:dyDescent="0.2">
      <c r="A123" s="140"/>
      <c r="B123" s="178"/>
      <c r="C123" s="179"/>
      <c r="D123" s="193" t="s">
        <v>17</v>
      </c>
      <c r="E123" s="180"/>
      <c r="F123" s="164">
        <v>0</v>
      </c>
      <c r="G123" s="240"/>
      <c r="H123" s="240"/>
      <c r="I123" s="446">
        <v>0</v>
      </c>
      <c r="J123" s="447"/>
    </row>
    <row r="124" spans="1:12" ht="17.45" customHeight="1" x14ac:dyDescent="0.2">
      <c r="A124" s="136"/>
      <c r="B124" s="439" t="s">
        <v>18</v>
      </c>
      <c r="C124" s="440"/>
      <c r="D124" s="441"/>
      <c r="E124" s="441"/>
      <c r="F124" s="441"/>
      <c r="G124" s="441"/>
      <c r="H124" s="441"/>
      <c r="I124" s="448">
        <v>37.26</v>
      </c>
      <c r="J124" s="449"/>
    </row>
    <row r="125" spans="1:12" ht="17.45" customHeight="1" x14ac:dyDescent="0.2">
      <c r="A125" s="141"/>
      <c r="B125" s="450"/>
      <c r="C125" s="451"/>
      <c r="D125" s="451"/>
      <c r="E125" s="451"/>
      <c r="F125" s="451"/>
      <c r="G125" s="451"/>
      <c r="H125" s="451"/>
      <c r="I125" s="451"/>
      <c r="J125" s="452"/>
    </row>
    <row r="126" spans="1:12" ht="17.45" customHeight="1" thickBot="1" x14ac:dyDescent="0.25">
      <c r="A126" s="140"/>
      <c r="B126" s="453"/>
      <c r="C126" s="454"/>
      <c r="D126" s="454"/>
      <c r="E126" s="454"/>
      <c r="F126" s="454"/>
      <c r="G126" s="454"/>
      <c r="H126" s="454"/>
      <c r="I126" s="454"/>
      <c r="J126" s="455"/>
    </row>
    <row r="127" spans="1:12" ht="13.5" thickBot="1" x14ac:dyDescent="0.25"/>
    <row r="128" spans="1:12" ht="17.45" customHeight="1" x14ac:dyDescent="0.2">
      <c r="A128" s="136"/>
      <c r="B128" s="476" t="s">
        <v>25</v>
      </c>
      <c r="C128" s="477"/>
      <c r="D128" s="477"/>
      <c r="E128" s="477"/>
      <c r="F128" s="477"/>
      <c r="G128" s="477"/>
      <c r="H128" s="477"/>
      <c r="I128" s="477"/>
      <c r="J128" s="478"/>
      <c r="K128" s="190"/>
      <c r="L128" s="137"/>
    </row>
    <row r="129" spans="1:13" ht="17.45" customHeight="1" x14ac:dyDescent="0.2">
      <c r="A129" s="141"/>
      <c r="B129" s="144" t="s">
        <v>43</v>
      </c>
      <c r="C129" s="241" t="s">
        <v>108</v>
      </c>
      <c r="D129" s="193"/>
      <c r="E129" s="240"/>
      <c r="F129" s="143" t="s">
        <v>113</v>
      </c>
      <c r="G129" s="479"/>
      <c r="H129" s="479"/>
      <c r="I129" s="145"/>
      <c r="J129" s="249">
        <v>44682</v>
      </c>
      <c r="K129" s="190"/>
      <c r="L129" s="137"/>
    </row>
    <row r="130" spans="1:13" ht="17.45" customHeight="1" x14ac:dyDescent="0.2">
      <c r="A130" s="141"/>
      <c r="B130" s="144" t="s">
        <v>4</v>
      </c>
      <c r="C130" s="480" t="s">
        <v>2360</v>
      </c>
      <c r="D130" s="480" t="e">
        <v>#N/A</v>
      </c>
      <c r="E130" s="480" t="e">
        <v>#N/A</v>
      </c>
      <c r="F130" s="480" t="e">
        <v>#N/A</v>
      </c>
      <c r="G130" s="480" t="e">
        <v>#N/A</v>
      </c>
      <c r="H130" s="480" t="e">
        <v>#N/A</v>
      </c>
      <c r="I130" s="480" t="e">
        <v>#N/A</v>
      </c>
      <c r="J130" s="481" t="e">
        <v>#N/A</v>
      </c>
      <c r="K130" s="185" t="s">
        <v>114</v>
      </c>
      <c r="L130" s="186" t="s">
        <v>89</v>
      </c>
      <c r="M130" s="187" t="s">
        <v>115</v>
      </c>
    </row>
    <row r="131" spans="1:13" ht="17.45" customHeight="1" x14ac:dyDescent="0.2">
      <c r="A131" s="140" t="s">
        <v>1170</v>
      </c>
      <c r="B131" s="146" t="s">
        <v>46</v>
      </c>
      <c r="C131" s="239" t="s">
        <v>1170</v>
      </c>
      <c r="D131" s="194" t="s">
        <v>45</v>
      </c>
      <c r="E131" s="482" t="s">
        <v>135</v>
      </c>
      <c r="F131" s="482"/>
      <c r="G131" s="482"/>
      <c r="H131" s="483"/>
      <c r="I131" s="181" t="s">
        <v>116</v>
      </c>
      <c r="J131" s="183" t="s">
        <v>2</v>
      </c>
      <c r="K131" s="184">
        <v>0</v>
      </c>
      <c r="L131" s="188">
        <v>59.6</v>
      </c>
      <c r="M131" s="189">
        <v>0</v>
      </c>
    </row>
    <row r="132" spans="1:13" ht="17.45" customHeight="1" x14ac:dyDescent="0.2">
      <c r="A132" s="148"/>
      <c r="B132" s="238"/>
      <c r="C132" s="239"/>
      <c r="D132" s="484" t="s">
        <v>6</v>
      </c>
      <c r="E132" s="485"/>
      <c r="F132" s="485"/>
      <c r="G132" s="486"/>
      <c r="H132" s="485"/>
      <c r="I132" s="485"/>
      <c r="J132" s="487"/>
      <c r="K132" s="182"/>
    </row>
    <row r="133" spans="1:13" ht="15" customHeight="1" x14ac:dyDescent="0.2">
      <c r="A133" s="140"/>
      <c r="B133" s="150" t="s">
        <v>29</v>
      </c>
      <c r="C133" s="151" t="s">
        <v>66</v>
      </c>
      <c r="D133" s="195" t="s">
        <v>7</v>
      </c>
      <c r="E133" s="152" t="s">
        <v>30</v>
      </c>
      <c r="F133" s="152" t="s">
        <v>112</v>
      </c>
      <c r="G133" s="488" t="s">
        <v>110</v>
      </c>
      <c r="H133" s="489"/>
      <c r="I133" s="488" t="s">
        <v>111</v>
      </c>
      <c r="J133" s="490"/>
      <c r="K133" s="182"/>
    </row>
    <row r="134" spans="1:13" x14ac:dyDescent="0.2">
      <c r="A134" s="140"/>
      <c r="B134" s="172"/>
      <c r="C134" s="154"/>
      <c r="D134" s="191"/>
      <c r="E134" s="155"/>
      <c r="F134" s="156"/>
      <c r="G134" s="428"/>
      <c r="H134" s="429"/>
      <c r="I134" s="430"/>
      <c r="J134" s="431"/>
    </row>
    <row r="135" spans="1:13" ht="17.45" customHeight="1" x14ac:dyDescent="0.2">
      <c r="A135" s="140"/>
      <c r="B135" s="161"/>
      <c r="C135" s="162"/>
      <c r="D135" s="197"/>
      <c r="E135" s="163"/>
      <c r="F135" s="163"/>
      <c r="G135" s="456"/>
      <c r="H135" s="457"/>
      <c r="I135" s="464"/>
      <c r="J135" s="465"/>
    </row>
    <row r="136" spans="1:13" ht="17.45" customHeight="1" x14ac:dyDescent="0.2">
      <c r="A136" s="136"/>
      <c r="B136" s="466" t="s">
        <v>44</v>
      </c>
      <c r="C136" s="467"/>
      <c r="D136" s="468"/>
      <c r="E136" s="468"/>
      <c r="F136" s="468"/>
      <c r="G136" s="468"/>
      <c r="H136" s="468"/>
      <c r="I136" s="469">
        <v>0</v>
      </c>
      <c r="J136" s="470"/>
    </row>
    <row r="137" spans="1:13" ht="17.45" customHeight="1" x14ac:dyDescent="0.2">
      <c r="A137" s="136"/>
      <c r="B137" s="466" t="s">
        <v>117</v>
      </c>
      <c r="C137" s="467"/>
      <c r="D137" s="468"/>
      <c r="E137" s="468"/>
      <c r="F137" s="164"/>
      <c r="G137" s="244"/>
      <c r="H137" s="242"/>
      <c r="I137" s="471">
        <v>0</v>
      </c>
      <c r="J137" s="472"/>
    </row>
    <row r="138" spans="1:13" ht="17.45" customHeight="1" x14ac:dyDescent="0.2">
      <c r="A138" s="136"/>
      <c r="B138" s="439" t="s">
        <v>8</v>
      </c>
      <c r="C138" s="440"/>
      <c r="D138" s="441"/>
      <c r="E138" s="441"/>
      <c r="F138" s="441"/>
      <c r="G138" s="441"/>
      <c r="H138" s="441"/>
      <c r="I138" s="473">
        <v>0</v>
      </c>
      <c r="J138" s="474"/>
    </row>
    <row r="139" spans="1:13" ht="17.45" customHeight="1" x14ac:dyDescent="0.2">
      <c r="A139" s="148"/>
      <c r="B139" s="243"/>
      <c r="C139" s="142"/>
      <c r="D139" s="475" t="s">
        <v>9</v>
      </c>
      <c r="E139" s="475"/>
      <c r="F139" s="460"/>
      <c r="G139" s="460"/>
      <c r="H139" s="460"/>
      <c r="I139" s="460"/>
      <c r="J139" s="461"/>
    </row>
    <row r="140" spans="1:13" ht="30" customHeight="1" x14ac:dyDescent="0.2">
      <c r="A140" s="140"/>
      <c r="B140" s="170" t="s">
        <v>29</v>
      </c>
      <c r="C140" s="151" t="s">
        <v>66</v>
      </c>
      <c r="D140" s="198" t="s">
        <v>7</v>
      </c>
      <c r="E140" s="171" t="s">
        <v>0</v>
      </c>
      <c r="F140" s="171" t="s">
        <v>10</v>
      </c>
      <c r="G140" s="462" t="s">
        <v>11</v>
      </c>
      <c r="H140" s="462"/>
      <c r="I140" s="462" t="s">
        <v>12</v>
      </c>
      <c r="J140" s="463"/>
    </row>
    <row r="141" spans="1:13" x14ac:dyDescent="0.2">
      <c r="A141" s="140"/>
      <c r="B141" s="172" t="s">
        <v>31</v>
      </c>
      <c r="C141" s="154">
        <v>1379</v>
      </c>
      <c r="D141" s="191" t="s">
        <v>1173</v>
      </c>
      <c r="E141" s="155" t="s">
        <v>1</v>
      </c>
      <c r="F141" s="156">
        <v>72</v>
      </c>
      <c r="G141" s="428">
        <v>0.66</v>
      </c>
      <c r="H141" s="429" t="e">
        <v>#N/A</v>
      </c>
      <c r="I141" s="430">
        <v>47.52</v>
      </c>
      <c r="J141" s="431"/>
    </row>
    <row r="142" spans="1:13" x14ac:dyDescent="0.2">
      <c r="A142" s="140"/>
      <c r="B142" s="157" t="s">
        <v>31</v>
      </c>
      <c r="C142" s="158">
        <v>370</v>
      </c>
      <c r="D142" s="196" t="s">
        <v>1174</v>
      </c>
      <c r="E142" s="159" t="s">
        <v>58</v>
      </c>
      <c r="F142" s="160">
        <v>0.115</v>
      </c>
      <c r="G142" s="432">
        <v>105</v>
      </c>
      <c r="H142" s="433" t="e">
        <v>#N/A</v>
      </c>
      <c r="I142" s="434">
        <v>12.08</v>
      </c>
      <c r="J142" s="435"/>
    </row>
    <row r="143" spans="1:13" ht="17.45" customHeight="1" x14ac:dyDescent="0.2">
      <c r="A143" s="140"/>
      <c r="B143" s="175"/>
      <c r="C143" s="248"/>
      <c r="D143" s="199"/>
      <c r="E143" s="163"/>
      <c r="F143" s="163"/>
      <c r="G143" s="456"/>
      <c r="H143" s="457"/>
      <c r="I143" s="458"/>
      <c r="J143" s="459"/>
    </row>
    <row r="144" spans="1:13" ht="17.45" customHeight="1" x14ac:dyDescent="0.2">
      <c r="A144" s="136"/>
      <c r="B144" s="439" t="s">
        <v>13</v>
      </c>
      <c r="C144" s="440"/>
      <c r="D144" s="441"/>
      <c r="E144" s="441"/>
      <c r="F144" s="441"/>
      <c r="G144" s="441"/>
      <c r="H144" s="441"/>
      <c r="I144" s="446">
        <v>59.6</v>
      </c>
      <c r="J144" s="447"/>
    </row>
    <row r="145" spans="1:13" ht="17.45" customHeight="1" x14ac:dyDescent="0.2">
      <c r="A145" s="148"/>
      <c r="B145" s="238"/>
      <c r="C145" s="239"/>
      <c r="D145" s="460" t="s">
        <v>14</v>
      </c>
      <c r="E145" s="460"/>
      <c r="F145" s="460"/>
      <c r="G145" s="460"/>
      <c r="H145" s="460"/>
      <c r="I145" s="460"/>
      <c r="J145" s="461"/>
    </row>
    <row r="146" spans="1:13" ht="30" customHeight="1" x14ac:dyDescent="0.2">
      <c r="A146" s="140"/>
      <c r="B146" s="170" t="s">
        <v>29</v>
      </c>
      <c r="C146" s="176"/>
      <c r="D146" s="198" t="s">
        <v>7</v>
      </c>
      <c r="E146" s="171" t="s">
        <v>0</v>
      </c>
      <c r="F146" s="171" t="s">
        <v>10</v>
      </c>
      <c r="G146" s="462" t="s">
        <v>11</v>
      </c>
      <c r="H146" s="462"/>
      <c r="I146" s="462" t="s">
        <v>12</v>
      </c>
      <c r="J146" s="463"/>
    </row>
    <row r="147" spans="1:13" x14ac:dyDescent="0.2">
      <c r="A147" s="140"/>
      <c r="B147" s="153"/>
      <c r="C147" s="154"/>
      <c r="D147" s="191"/>
      <c r="E147" s="155"/>
      <c r="F147" s="156"/>
      <c r="G147" s="428"/>
      <c r="H147" s="429"/>
      <c r="I147" s="430"/>
      <c r="J147" s="431"/>
    </row>
    <row r="148" spans="1:13" x14ac:dyDescent="0.2">
      <c r="A148" s="140"/>
      <c r="B148" s="157"/>
      <c r="C148" s="158"/>
      <c r="D148" s="196"/>
      <c r="E148" s="159"/>
      <c r="F148" s="160"/>
      <c r="G148" s="432"/>
      <c r="H148" s="433"/>
      <c r="I148" s="434"/>
      <c r="J148" s="435"/>
    </row>
    <row r="149" spans="1:13" ht="17.45" customHeight="1" x14ac:dyDescent="0.2">
      <c r="A149" s="140"/>
      <c r="B149" s="175"/>
      <c r="C149" s="162"/>
      <c r="D149" s="199"/>
      <c r="E149" s="163"/>
      <c r="F149" s="177"/>
      <c r="G149" s="436"/>
      <c r="H149" s="437"/>
      <c r="I149" s="436"/>
      <c r="J149" s="438"/>
    </row>
    <row r="150" spans="1:13" ht="17.45" customHeight="1" x14ac:dyDescent="0.2">
      <c r="A150" s="136"/>
      <c r="B150" s="439" t="s">
        <v>15</v>
      </c>
      <c r="C150" s="440"/>
      <c r="D150" s="441"/>
      <c r="E150" s="441"/>
      <c r="F150" s="441"/>
      <c r="G150" s="441"/>
      <c r="H150" s="441"/>
      <c r="I150" s="442">
        <v>0</v>
      </c>
      <c r="J150" s="443"/>
    </row>
    <row r="151" spans="1:13" ht="17.45" customHeight="1" x14ac:dyDescent="0.2">
      <c r="A151" s="136"/>
      <c r="B151" s="439" t="s">
        <v>16</v>
      </c>
      <c r="C151" s="440"/>
      <c r="D151" s="441"/>
      <c r="E151" s="441"/>
      <c r="F151" s="441"/>
      <c r="G151" s="441"/>
      <c r="H151" s="441"/>
      <c r="I151" s="444">
        <v>59.6</v>
      </c>
      <c r="J151" s="445"/>
    </row>
    <row r="152" spans="1:13" ht="17.45" customHeight="1" x14ac:dyDescent="0.2">
      <c r="A152" s="140"/>
      <c r="B152" s="178"/>
      <c r="C152" s="179"/>
      <c r="D152" s="193" t="s">
        <v>17</v>
      </c>
      <c r="E152" s="180"/>
      <c r="F152" s="164">
        <v>0</v>
      </c>
      <c r="G152" s="240"/>
      <c r="H152" s="240"/>
      <c r="I152" s="446">
        <v>0</v>
      </c>
      <c r="J152" s="447"/>
    </row>
    <row r="153" spans="1:13" ht="17.45" customHeight="1" x14ac:dyDescent="0.2">
      <c r="A153" s="136"/>
      <c r="B153" s="439" t="s">
        <v>18</v>
      </c>
      <c r="C153" s="440"/>
      <c r="D153" s="441"/>
      <c r="E153" s="441"/>
      <c r="F153" s="441"/>
      <c r="G153" s="441"/>
      <c r="H153" s="441"/>
      <c r="I153" s="448">
        <v>59.6</v>
      </c>
      <c r="J153" s="449"/>
    </row>
    <row r="154" spans="1:13" ht="17.45" customHeight="1" x14ac:dyDescent="0.2">
      <c r="A154" s="141"/>
      <c r="B154" s="450"/>
      <c r="C154" s="451"/>
      <c r="D154" s="451"/>
      <c r="E154" s="451"/>
      <c r="F154" s="451"/>
      <c r="G154" s="451"/>
      <c r="H154" s="451"/>
      <c r="I154" s="451"/>
      <c r="J154" s="452"/>
    </row>
    <row r="155" spans="1:13" ht="17.45" customHeight="1" thickBot="1" x14ac:dyDescent="0.25">
      <c r="A155" s="140"/>
      <c r="B155" s="453"/>
      <c r="C155" s="454"/>
      <c r="D155" s="454"/>
      <c r="E155" s="454"/>
      <c r="F155" s="454"/>
      <c r="G155" s="454"/>
      <c r="H155" s="454"/>
      <c r="I155" s="454"/>
      <c r="J155" s="455"/>
    </row>
    <row r="156" spans="1:13" ht="13.5" thickBot="1" x14ac:dyDescent="0.25"/>
    <row r="157" spans="1:13" ht="17.45" customHeight="1" x14ac:dyDescent="0.2">
      <c r="A157" s="136"/>
      <c r="B157" s="476" t="s">
        <v>25</v>
      </c>
      <c r="C157" s="477"/>
      <c r="D157" s="477"/>
      <c r="E157" s="477"/>
      <c r="F157" s="477"/>
      <c r="G157" s="477"/>
      <c r="H157" s="477"/>
      <c r="I157" s="477"/>
      <c r="J157" s="478"/>
      <c r="K157" s="190"/>
      <c r="L157" s="137"/>
    </row>
    <row r="158" spans="1:13" ht="17.45" customHeight="1" x14ac:dyDescent="0.2">
      <c r="A158" s="141"/>
      <c r="B158" s="144" t="s">
        <v>43</v>
      </c>
      <c r="C158" s="241" t="s">
        <v>108</v>
      </c>
      <c r="D158" s="193"/>
      <c r="E158" s="240"/>
      <c r="F158" s="143" t="s">
        <v>113</v>
      </c>
      <c r="G158" s="479"/>
      <c r="H158" s="479"/>
      <c r="I158" s="145"/>
      <c r="J158" s="249">
        <v>44682</v>
      </c>
      <c r="K158" s="190"/>
      <c r="L158" s="137"/>
    </row>
    <row r="159" spans="1:13" ht="17.45" customHeight="1" x14ac:dyDescent="0.2">
      <c r="A159" s="141"/>
      <c r="B159" s="144" t="s">
        <v>4</v>
      </c>
      <c r="C159" s="480" t="s">
        <v>1203</v>
      </c>
      <c r="D159" s="480" t="e">
        <v>#N/A</v>
      </c>
      <c r="E159" s="480" t="e">
        <v>#N/A</v>
      </c>
      <c r="F159" s="480" t="e">
        <v>#N/A</v>
      </c>
      <c r="G159" s="480" t="e">
        <v>#N/A</v>
      </c>
      <c r="H159" s="480" t="e">
        <v>#N/A</v>
      </c>
      <c r="I159" s="480" t="e">
        <v>#N/A</v>
      </c>
      <c r="J159" s="481" t="e">
        <v>#N/A</v>
      </c>
      <c r="K159" s="185" t="s">
        <v>114</v>
      </c>
      <c r="L159" s="186" t="s">
        <v>89</v>
      </c>
      <c r="M159" s="187" t="s">
        <v>115</v>
      </c>
    </row>
    <row r="160" spans="1:13" ht="17.45" customHeight="1" x14ac:dyDescent="0.2">
      <c r="A160" s="140" t="s">
        <v>1197</v>
      </c>
      <c r="B160" s="146" t="s">
        <v>46</v>
      </c>
      <c r="C160" s="239" t="s">
        <v>1197</v>
      </c>
      <c r="D160" s="194" t="s">
        <v>45</v>
      </c>
      <c r="E160" s="482" t="s">
        <v>1201</v>
      </c>
      <c r="F160" s="482"/>
      <c r="G160" s="482"/>
      <c r="H160" s="483"/>
      <c r="I160" s="181" t="s">
        <v>116</v>
      </c>
      <c r="J160" s="183" t="s">
        <v>57</v>
      </c>
      <c r="K160" s="184">
        <v>25.54</v>
      </c>
      <c r="L160" s="188">
        <v>135.32999999999998</v>
      </c>
      <c r="M160" s="189">
        <v>0</v>
      </c>
    </row>
    <row r="161" spans="1:11" ht="17.45" customHeight="1" x14ac:dyDescent="0.2">
      <c r="A161" s="148"/>
      <c r="B161" s="238"/>
      <c r="C161" s="239"/>
      <c r="D161" s="484" t="s">
        <v>6</v>
      </c>
      <c r="E161" s="485"/>
      <c r="F161" s="485"/>
      <c r="G161" s="486"/>
      <c r="H161" s="485"/>
      <c r="I161" s="485"/>
      <c r="J161" s="487"/>
      <c r="K161" s="182"/>
    </row>
    <row r="162" spans="1:11" ht="15" customHeight="1" x14ac:dyDescent="0.2">
      <c r="A162" s="140"/>
      <c r="B162" s="150" t="s">
        <v>29</v>
      </c>
      <c r="C162" s="151" t="s">
        <v>66</v>
      </c>
      <c r="D162" s="195" t="s">
        <v>7</v>
      </c>
      <c r="E162" s="152" t="s">
        <v>30</v>
      </c>
      <c r="F162" s="152" t="s">
        <v>112</v>
      </c>
      <c r="G162" s="488" t="s">
        <v>110</v>
      </c>
      <c r="H162" s="489"/>
      <c r="I162" s="488" t="s">
        <v>111</v>
      </c>
      <c r="J162" s="490"/>
      <c r="K162" s="182"/>
    </row>
    <row r="163" spans="1:11" ht="25.5" x14ac:dyDescent="0.2">
      <c r="A163" s="140"/>
      <c r="B163" s="172" t="s">
        <v>100</v>
      </c>
      <c r="C163" s="154">
        <v>88256</v>
      </c>
      <c r="D163" s="191" t="s">
        <v>52</v>
      </c>
      <c r="E163" s="155" t="s">
        <v>48</v>
      </c>
      <c r="F163" s="156">
        <v>0.44</v>
      </c>
      <c r="G163" s="428">
        <v>43.45</v>
      </c>
      <c r="H163" s="429" t="e">
        <v>#N/A</v>
      </c>
      <c r="I163" s="430">
        <v>19.12</v>
      </c>
      <c r="J163" s="431"/>
    </row>
    <row r="164" spans="1:11" x14ac:dyDescent="0.2">
      <c r="A164" s="140"/>
      <c r="B164" s="157" t="s">
        <v>100</v>
      </c>
      <c r="C164" s="158">
        <v>88316</v>
      </c>
      <c r="D164" s="196" t="s">
        <v>56</v>
      </c>
      <c r="E164" s="159" t="s">
        <v>48</v>
      </c>
      <c r="F164" s="160">
        <v>0.2</v>
      </c>
      <c r="G164" s="432">
        <v>32.119999999999997</v>
      </c>
      <c r="H164" s="433" t="e">
        <v>#N/A</v>
      </c>
      <c r="I164" s="434">
        <v>6.42</v>
      </c>
      <c r="J164" s="435"/>
    </row>
    <row r="165" spans="1:11" ht="17.45" customHeight="1" x14ac:dyDescent="0.2">
      <c r="A165" s="140"/>
      <c r="B165" s="161"/>
      <c r="C165" s="162"/>
      <c r="D165" s="197"/>
      <c r="E165" s="163"/>
      <c r="F165" s="163"/>
      <c r="G165" s="456"/>
      <c r="H165" s="457"/>
      <c r="I165" s="464"/>
      <c r="J165" s="465"/>
    </row>
    <row r="166" spans="1:11" ht="17.45" customHeight="1" x14ac:dyDescent="0.2">
      <c r="A166" s="136"/>
      <c r="B166" s="466" t="s">
        <v>44</v>
      </c>
      <c r="C166" s="467"/>
      <c r="D166" s="468"/>
      <c r="E166" s="468"/>
      <c r="F166" s="468"/>
      <c r="G166" s="468"/>
      <c r="H166" s="468"/>
      <c r="I166" s="469">
        <v>25.54</v>
      </c>
      <c r="J166" s="470"/>
    </row>
    <row r="167" spans="1:11" ht="17.45" customHeight="1" x14ac:dyDescent="0.2">
      <c r="A167" s="136"/>
      <c r="B167" s="466" t="s">
        <v>117</v>
      </c>
      <c r="C167" s="467"/>
      <c r="D167" s="468"/>
      <c r="E167" s="468"/>
      <c r="F167" s="164"/>
      <c r="G167" s="244"/>
      <c r="H167" s="242"/>
      <c r="I167" s="471">
        <v>0</v>
      </c>
      <c r="J167" s="472"/>
    </row>
    <row r="168" spans="1:11" ht="17.45" customHeight="1" x14ac:dyDescent="0.2">
      <c r="A168" s="136"/>
      <c r="B168" s="439" t="s">
        <v>8</v>
      </c>
      <c r="C168" s="440"/>
      <c r="D168" s="441"/>
      <c r="E168" s="441"/>
      <c r="F168" s="441"/>
      <c r="G168" s="441"/>
      <c r="H168" s="441"/>
      <c r="I168" s="473">
        <v>25.54</v>
      </c>
      <c r="J168" s="474"/>
    </row>
    <row r="169" spans="1:11" ht="17.45" customHeight="1" x14ac:dyDescent="0.2">
      <c r="A169" s="148"/>
      <c r="B169" s="243"/>
      <c r="C169" s="142"/>
      <c r="D169" s="475" t="s">
        <v>9</v>
      </c>
      <c r="E169" s="475"/>
      <c r="F169" s="460"/>
      <c r="G169" s="460"/>
      <c r="H169" s="460"/>
      <c r="I169" s="460"/>
      <c r="J169" s="461"/>
    </row>
    <row r="170" spans="1:11" ht="30" customHeight="1" x14ac:dyDescent="0.2">
      <c r="A170" s="140"/>
      <c r="B170" s="170" t="s">
        <v>29</v>
      </c>
      <c r="C170" s="151" t="s">
        <v>66</v>
      </c>
      <c r="D170" s="198" t="s">
        <v>7</v>
      </c>
      <c r="E170" s="171" t="s">
        <v>0</v>
      </c>
      <c r="F170" s="171" t="s">
        <v>10</v>
      </c>
      <c r="G170" s="462" t="s">
        <v>11</v>
      </c>
      <c r="H170" s="462"/>
      <c r="I170" s="462" t="s">
        <v>12</v>
      </c>
      <c r="J170" s="463"/>
    </row>
    <row r="171" spans="1:11" ht="25.5" x14ac:dyDescent="0.2">
      <c r="A171" s="140"/>
      <c r="B171" s="172" t="s">
        <v>2339</v>
      </c>
      <c r="C171" s="154" t="s">
        <v>1193</v>
      </c>
      <c r="D171" s="191" t="s">
        <v>1190</v>
      </c>
      <c r="E171" s="155" t="s">
        <v>57</v>
      </c>
      <c r="F171" s="156">
        <v>1.07</v>
      </c>
      <c r="G171" s="428">
        <v>105.73278245835476</v>
      </c>
      <c r="H171" s="429" t="e">
        <v>#N/A</v>
      </c>
      <c r="I171" s="430">
        <v>113.13</v>
      </c>
      <c r="J171" s="431"/>
    </row>
    <row r="172" spans="1:11" x14ac:dyDescent="0.2">
      <c r="A172" s="140"/>
      <c r="B172" s="157" t="s">
        <v>2339</v>
      </c>
      <c r="C172" s="158" t="s">
        <v>1195</v>
      </c>
      <c r="D172" s="196" t="s">
        <v>1192</v>
      </c>
      <c r="E172" s="159" t="s">
        <v>1</v>
      </c>
      <c r="F172" s="160">
        <v>8.6199999999999992</v>
      </c>
      <c r="G172" s="432">
        <v>2.4888424714054489</v>
      </c>
      <c r="H172" s="433" t="e">
        <v>#N/A</v>
      </c>
      <c r="I172" s="434">
        <v>21.45</v>
      </c>
      <c r="J172" s="435"/>
    </row>
    <row r="173" spans="1:11" x14ac:dyDescent="0.2">
      <c r="A173" s="140"/>
      <c r="B173" s="157" t="s">
        <v>2339</v>
      </c>
      <c r="C173" s="158" t="s">
        <v>1196</v>
      </c>
      <c r="D173" s="196" t="s">
        <v>1191</v>
      </c>
      <c r="E173" s="159" t="s">
        <v>1</v>
      </c>
      <c r="F173" s="160">
        <v>0.14000000000000001</v>
      </c>
      <c r="G173" s="432">
        <v>5.3216713006474237</v>
      </c>
      <c r="H173" s="433" t="e">
        <v>#N/A</v>
      </c>
      <c r="I173" s="434">
        <v>0.75</v>
      </c>
      <c r="J173" s="435"/>
    </row>
    <row r="174" spans="1:11" ht="17.45" customHeight="1" x14ac:dyDescent="0.2">
      <c r="A174" s="140"/>
      <c r="B174" s="175"/>
      <c r="C174" s="248"/>
      <c r="D174" s="199"/>
      <c r="E174" s="163"/>
      <c r="F174" s="163"/>
      <c r="G174" s="456"/>
      <c r="H174" s="457"/>
      <c r="I174" s="458"/>
      <c r="J174" s="459"/>
    </row>
    <row r="175" spans="1:11" ht="17.45" customHeight="1" x14ac:dyDescent="0.2">
      <c r="A175" s="136"/>
      <c r="B175" s="439" t="s">
        <v>13</v>
      </c>
      <c r="C175" s="440"/>
      <c r="D175" s="441"/>
      <c r="E175" s="441"/>
      <c r="F175" s="441"/>
      <c r="G175" s="441"/>
      <c r="H175" s="441"/>
      <c r="I175" s="446">
        <v>135.32999999999998</v>
      </c>
      <c r="J175" s="447"/>
    </row>
    <row r="176" spans="1:11" ht="17.45" customHeight="1" x14ac:dyDescent="0.2">
      <c r="A176" s="148"/>
      <c r="B176" s="238"/>
      <c r="C176" s="239"/>
      <c r="D176" s="460" t="s">
        <v>14</v>
      </c>
      <c r="E176" s="460"/>
      <c r="F176" s="460"/>
      <c r="G176" s="460"/>
      <c r="H176" s="460"/>
      <c r="I176" s="460"/>
      <c r="J176" s="461"/>
    </row>
    <row r="177" spans="1:13" ht="30" customHeight="1" x14ac:dyDescent="0.2">
      <c r="A177" s="140"/>
      <c r="B177" s="170" t="s">
        <v>29</v>
      </c>
      <c r="C177" s="176"/>
      <c r="D177" s="198" t="s">
        <v>7</v>
      </c>
      <c r="E177" s="171" t="s">
        <v>0</v>
      </c>
      <c r="F177" s="171" t="s">
        <v>10</v>
      </c>
      <c r="G177" s="462" t="s">
        <v>11</v>
      </c>
      <c r="H177" s="462"/>
      <c r="I177" s="462" t="s">
        <v>12</v>
      </c>
      <c r="J177" s="463"/>
    </row>
    <row r="178" spans="1:13" x14ac:dyDescent="0.2">
      <c r="A178" s="140"/>
      <c r="B178" s="153"/>
      <c r="C178" s="154"/>
      <c r="D178" s="191"/>
      <c r="E178" s="155"/>
      <c r="F178" s="156"/>
      <c r="G178" s="428"/>
      <c r="H178" s="429"/>
      <c r="I178" s="430"/>
      <c r="J178" s="431"/>
    </row>
    <row r="179" spans="1:13" x14ac:dyDescent="0.2">
      <c r="A179" s="140"/>
      <c r="B179" s="157"/>
      <c r="C179" s="158"/>
      <c r="D179" s="196"/>
      <c r="E179" s="159"/>
      <c r="F179" s="160"/>
      <c r="G179" s="432"/>
      <c r="H179" s="433"/>
      <c r="I179" s="434"/>
      <c r="J179" s="435"/>
    </row>
    <row r="180" spans="1:13" ht="17.45" customHeight="1" x14ac:dyDescent="0.2">
      <c r="A180" s="140"/>
      <c r="B180" s="175"/>
      <c r="C180" s="162"/>
      <c r="D180" s="199"/>
      <c r="E180" s="163"/>
      <c r="F180" s="177"/>
      <c r="G180" s="436"/>
      <c r="H180" s="437"/>
      <c r="I180" s="436"/>
      <c r="J180" s="438"/>
    </row>
    <row r="181" spans="1:13" ht="17.45" customHeight="1" x14ac:dyDescent="0.2">
      <c r="A181" s="136"/>
      <c r="B181" s="439" t="s">
        <v>15</v>
      </c>
      <c r="C181" s="440"/>
      <c r="D181" s="441"/>
      <c r="E181" s="441"/>
      <c r="F181" s="441"/>
      <c r="G181" s="441"/>
      <c r="H181" s="441"/>
      <c r="I181" s="442">
        <v>0</v>
      </c>
      <c r="J181" s="443"/>
    </row>
    <row r="182" spans="1:13" ht="17.45" customHeight="1" x14ac:dyDescent="0.2">
      <c r="A182" s="136"/>
      <c r="B182" s="439" t="s">
        <v>16</v>
      </c>
      <c r="C182" s="440"/>
      <c r="D182" s="441"/>
      <c r="E182" s="441"/>
      <c r="F182" s="441"/>
      <c r="G182" s="441"/>
      <c r="H182" s="441"/>
      <c r="I182" s="444">
        <v>160.86999999999998</v>
      </c>
      <c r="J182" s="445"/>
    </row>
    <row r="183" spans="1:13" ht="17.45" customHeight="1" x14ac:dyDescent="0.2">
      <c r="A183" s="140"/>
      <c r="B183" s="178"/>
      <c r="C183" s="179"/>
      <c r="D183" s="193" t="s">
        <v>17</v>
      </c>
      <c r="E183" s="180"/>
      <c r="F183" s="164">
        <v>0</v>
      </c>
      <c r="G183" s="240"/>
      <c r="H183" s="240"/>
      <c r="I183" s="446">
        <v>0</v>
      </c>
      <c r="J183" s="447"/>
    </row>
    <row r="184" spans="1:13" ht="17.45" customHeight="1" x14ac:dyDescent="0.2">
      <c r="A184" s="136"/>
      <c r="B184" s="439" t="s">
        <v>18</v>
      </c>
      <c r="C184" s="440"/>
      <c r="D184" s="441"/>
      <c r="E184" s="441"/>
      <c r="F184" s="441"/>
      <c r="G184" s="441"/>
      <c r="H184" s="441"/>
      <c r="I184" s="448">
        <v>160.86999999999998</v>
      </c>
      <c r="J184" s="449"/>
    </row>
    <row r="185" spans="1:13" ht="17.45" customHeight="1" x14ac:dyDescent="0.2">
      <c r="A185" s="141"/>
      <c r="B185" s="450" t="s">
        <v>1214</v>
      </c>
      <c r="C185" s="451"/>
      <c r="D185" s="451"/>
      <c r="E185" s="451"/>
      <c r="F185" s="451"/>
      <c r="G185" s="451"/>
      <c r="H185" s="451"/>
      <c r="I185" s="451"/>
      <c r="J185" s="452"/>
    </row>
    <row r="186" spans="1:13" ht="17.45" customHeight="1" thickBot="1" x14ac:dyDescent="0.25">
      <c r="A186" s="140"/>
      <c r="B186" s="453"/>
      <c r="C186" s="454"/>
      <c r="D186" s="454"/>
      <c r="E186" s="454"/>
      <c r="F186" s="454"/>
      <c r="G186" s="454"/>
      <c r="H186" s="454"/>
      <c r="I186" s="454"/>
      <c r="J186" s="455"/>
    </row>
    <row r="187" spans="1:13" ht="13.5" thickBot="1" x14ac:dyDescent="0.25"/>
    <row r="188" spans="1:13" ht="17.45" customHeight="1" x14ac:dyDescent="0.2">
      <c r="A188" s="136"/>
      <c r="B188" s="476" t="s">
        <v>25</v>
      </c>
      <c r="C188" s="477"/>
      <c r="D188" s="477"/>
      <c r="E188" s="477"/>
      <c r="F188" s="477"/>
      <c r="G188" s="477"/>
      <c r="H188" s="477"/>
      <c r="I188" s="477"/>
      <c r="J188" s="478"/>
      <c r="K188" s="190"/>
      <c r="L188" s="137"/>
    </row>
    <row r="189" spans="1:13" ht="17.45" customHeight="1" x14ac:dyDescent="0.2">
      <c r="A189" s="141"/>
      <c r="B189" s="144" t="s">
        <v>43</v>
      </c>
      <c r="C189" s="241" t="s">
        <v>108</v>
      </c>
      <c r="D189" s="193"/>
      <c r="E189" s="240"/>
      <c r="F189" s="143" t="s">
        <v>113</v>
      </c>
      <c r="G189" s="479"/>
      <c r="H189" s="479"/>
      <c r="I189" s="145"/>
      <c r="J189" s="249">
        <v>44682</v>
      </c>
      <c r="K189" s="190"/>
      <c r="L189" s="137"/>
    </row>
    <row r="190" spans="1:13" ht="17.45" customHeight="1" x14ac:dyDescent="0.2">
      <c r="A190" s="141"/>
      <c r="B190" s="144" t="s">
        <v>4</v>
      </c>
      <c r="C190" s="480" t="s">
        <v>1211</v>
      </c>
      <c r="D190" s="480" t="e">
        <v>#N/A</v>
      </c>
      <c r="E190" s="480" t="e">
        <v>#N/A</v>
      </c>
      <c r="F190" s="480" t="e">
        <v>#N/A</v>
      </c>
      <c r="G190" s="480" t="e">
        <v>#N/A</v>
      </c>
      <c r="H190" s="480" t="e">
        <v>#N/A</v>
      </c>
      <c r="I190" s="480" t="e">
        <v>#N/A</v>
      </c>
      <c r="J190" s="481" t="e">
        <v>#N/A</v>
      </c>
      <c r="K190" s="185" t="s">
        <v>114</v>
      </c>
      <c r="L190" s="186" t="s">
        <v>89</v>
      </c>
      <c r="M190" s="187" t="s">
        <v>115</v>
      </c>
    </row>
    <row r="191" spans="1:13" ht="17.45" customHeight="1" x14ac:dyDescent="0.2">
      <c r="A191" s="140" t="s">
        <v>1198</v>
      </c>
      <c r="B191" s="146" t="s">
        <v>46</v>
      </c>
      <c r="C191" s="239" t="s">
        <v>1198</v>
      </c>
      <c r="D191" s="194" t="s">
        <v>45</v>
      </c>
      <c r="E191" s="482" t="s">
        <v>1215</v>
      </c>
      <c r="F191" s="482"/>
      <c r="G191" s="482"/>
      <c r="H191" s="483"/>
      <c r="I191" s="181" t="s">
        <v>116</v>
      </c>
      <c r="J191" s="183" t="s">
        <v>57</v>
      </c>
      <c r="K191" s="184">
        <v>39.090000000000003</v>
      </c>
      <c r="L191" s="188">
        <v>136.38999999999999</v>
      </c>
      <c r="M191" s="189">
        <v>0</v>
      </c>
    </row>
    <row r="192" spans="1:13" ht="17.45" customHeight="1" x14ac:dyDescent="0.2">
      <c r="A192" s="148"/>
      <c r="B192" s="238"/>
      <c r="C192" s="239"/>
      <c r="D192" s="484" t="s">
        <v>6</v>
      </c>
      <c r="E192" s="485"/>
      <c r="F192" s="485"/>
      <c r="G192" s="486"/>
      <c r="H192" s="485"/>
      <c r="I192" s="485"/>
      <c r="J192" s="487"/>
      <c r="K192" s="182"/>
    </row>
    <row r="193" spans="1:11" ht="15" customHeight="1" x14ac:dyDescent="0.2">
      <c r="A193" s="140"/>
      <c r="B193" s="150" t="s">
        <v>29</v>
      </c>
      <c r="C193" s="151" t="s">
        <v>66</v>
      </c>
      <c r="D193" s="195" t="s">
        <v>7</v>
      </c>
      <c r="E193" s="152" t="s">
        <v>30</v>
      </c>
      <c r="F193" s="152" t="s">
        <v>112</v>
      </c>
      <c r="G193" s="488" t="s">
        <v>110</v>
      </c>
      <c r="H193" s="489"/>
      <c r="I193" s="488" t="s">
        <v>111</v>
      </c>
      <c r="J193" s="490"/>
      <c r="K193" s="182"/>
    </row>
    <row r="194" spans="1:11" ht="25.5" x14ac:dyDescent="0.2">
      <c r="A194" s="140"/>
      <c r="B194" s="172" t="s">
        <v>100</v>
      </c>
      <c r="C194" s="154">
        <v>88256</v>
      </c>
      <c r="D194" s="191" t="s">
        <v>52</v>
      </c>
      <c r="E194" s="155" t="s">
        <v>48</v>
      </c>
      <c r="F194" s="156">
        <v>0.7</v>
      </c>
      <c r="G194" s="428">
        <v>43.45</v>
      </c>
      <c r="H194" s="429" t="e">
        <v>#N/A</v>
      </c>
      <c r="I194" s="430">
        <v>30.42</v>
      </c>
      <c r="J194" s="431"/>
    </row>
    <row r="195" spans="1:11" x14ac:dyDescent="0.2">
      <c r="A195" s="140"/>
      <c r="B195" s="157" t="s">
        <v>100</v>
      </c>
      <c r="C195" s="158">
        <v>88316</v>
      </c>
      <c r="D195" s="196" t="s">
        <v>56</v>
      </c>
      <c r="E195" s="159" t="s">
        <v>48</v>
      </c>
      <c r="F195" s="160">
        <v>0.27</v>
      </c>
      <c r="G195" s="432">
        <v>32.119999999999997</v>
      </c>
      <c r="H195" s="433" t="e">
        <v>#N/A</v>
      </c>
      <c r="I195" s="434">
        <v>8.67</v>
      </c>
      <c r="J195" s="435"/>
    </row>
    <row r="196" spans="1:11" ht="17.45" customHeight="1" x14ac:dyDescent="0.2">
      <c r="A196" s="140"/>
      <c r="B196" s="161"/>
      <c r="C196" s="162"/>
      <c r="D196" s="197"/>
      <c r="E196" s="163"/>
      <c r="F196" s="163"/>
      <c r="G196" s="456"/>
      <c r="H196" s="457"/>
      <c r="I196" s="464"/>
      <c r="J196" s="465"/>
    </row>
    <row r="197" spans="1:11" ht="17.45" customHeight="1" x14ac:dyDescent="0.2">
      <c r="A197" s="136"/>
      <c r="B197" s="466" t="s">
        <v>44</v>
      </c>
      <c r="C197" s="467"/>
      <c r="D197" s="468"/>
      <c r="E197" s="468"/>
      <c r="F197" s="468"/>
      <c r="G197" s="468"/>
      <c r="H197" s="468"/>
      <c r="I197" s="469">
        <v>39.090000000000003</v>
      </c>
      <c r="J197" s="470"/>
    </row>
    <row r="198" spans="1:11" ht="17.45" customHeight="1" x14ac:dyDescent="0.2">
      <c r="A198" s="136"/>
      <c r="B198" s="466" t="s">
        <v>117</v>
      </c>
      <c r="C198" s="467"/>
      <c r="D198" s="468"/>
      <c r="E198" s="468"/>
      <c r="F198" s="164"/>
      <c r="G198" s="244"/>
      <c r="H198" s="242"/>
      <c r="I198" s="471">
        <v>0</v>
      </c>
      <c r="J198" s="472"/>
    </row>
    <row r="199" spans="1:11" ht="17.45" customHeight="1" x14ac:dyDescent="0.2">
      <c r="A199" s="136"/>
      <c r="B199" s="439" t="s">
        <v>8</v>
      </c>
      <c r="C199" s="440"/>
      <c r="D199" s="441"/>
      <c r="E199" s="441"/>
      <c r="F199" s="441"/>
      <c r="G199" s="441"/>
      <c r="H199" s="441"/>
      <c r="I199" s="473">
        <v>39.090000000000003</v>
      </c>
      <c r="J199" s="474"/>
    </row>
    <row r="200" spans="1:11" ht="17.45" customHeight="1" x14ac:dyDescent="0.2">
      <c r="A200" s="148"/>
      <c r="B200" s="243"/>
      <c r="C200" s="142"/>
      <c r="D200" s="475" t="s">
        <v>9</v>
      </c>
      <c r="E200" s="475"/>
      <c r="F200" s="460"/>
      <c r="G200" s="460"/>
      <c r="H200" s="460"/>
      <c r="I200" s="460"/>
      <c r="J200" s="461"/>
    </row>
    <row r="201" spans="1:11" ht="30" customHeight="1" x14ac:dyDescent="0.2">
      <c r="A201" s="140"/>
      <c r="B201" s="170" t="s">
        <v>29</v>
      </c>
      <c r="C201" s="151" t="s">
        <v>66</v>
      </c>
      <c r="D201" s="198" t="s">
        <v>7</v>
      </c>
      <c r="E201" s="171" t="s">
        <v>0</v>
      </c>
      <c r="F201" s="171" t="s">
        <v>10</v>
      </c>
      <c r="G201" s="462" t="s">
        <v>11</v>
      </c>
      <c r="H201" s="462"/>
      <c r="I201" s="462" t="s">
        <v>12</v>
      </c>
      <c r="J201" s="463"/>
    </row>
    <row r="202" spans="1:11" ht="25.5" x14ac:dyDescent="0.2">
      <c r="A202" s="140"/>
      <c r="B202" s="172" t="s">
        <v>2339</v>
      </c>
      <c r="C202" s="154" t="s">
        <v>1193</v>
      </c>
      <c r="D202" s="191" t="s">
        <v>1190</v>
      </c>
      <c r="E202" s="155" t="s">
        <v>57</v>
      </c>
      <c r="F202" s="156">
        <v>1.08</v>
      </c>
      <c r="G202" s="428">
        <v>105.73278245835476</v>
      </c>
      <c r="H202" s="429" t="e">
        <v>#N/A</v>
      </c>
      <c r="I202" s="430">
        <v>114.19</v>
      </c>
      <c r="J202" s="431"/>
    </row>
    <row r="203" spans="1:11" x14ac:dyDescent="0.2">
      <c r="A203" s="140"/>
      <c r="B203" s="157" t="s">
        <v>2339</v>
      </c>
      <c r="C203" s="158" t="s">
        <v>1195</v>
      </c>
      <c r="D203" s="196" t="s">
        <v>1192</v>
      </c>
      <c r="E203" s="159" t="s">
        <v>1</v>
      </c>
      <c r="F203" s="160">
        <v>8.6199999999999992</v>
      </c>
      <c r="G203" s="432">
        <v>2.4888424714054489</v>
      </c>
      <c r="H203" s="433" t="e">
        <v>#N/A</v>
      </c>
      <c r="I203" s="434">
        <v>21.45</v>
      </c>
      <c r="J203" s="435"/>
    </row>
    <row r="204" spans="1:11" x14ac:dyDescent="0.2">
      <c r="A204" s="140"/>
      <c r="B204" s="157" t="s">
        <v>2339</v>
      </c>
      <c r="C204" s="158" t="s">
        <v>1196</v>
      </c>
      <c r="D204" s="196" t="s">
        <v>1191</v>
      </c>
      <c r="E204" s="159" t="s">
        <v>1</v>
      </c>
      <c r="F204" s="160">
        <v>0.14000000000000001</v>
      </c>
      <c r="G204" s="432">
        <v>5.3216713006474237</v>
      </c>
      <c r="H204" s="433" t="e">
        <v>#N/A</v>
      </c>
      <c r="I204" s="434">
        <v>0.75</v>
      </c>
      <c r="J204" s="435"/>
    </row>
    <row r="205" spans="1:11" ht="17.45" customHeight="1" x14ac:dyDescent="0.2">
      <c r="A205" s="140"/>
      <c r="B205" s="175"/>
      <c r="C205" s="248"/>
      <c r="D205" s="199"/>
      <c r="E205" s="163"/>
      <c r="F205" s="163"/>
      <c r="G205" s="456"/>
      <c r="H205" s="457"/>
      <c r="I205" s="458"/>
      <c r="J205" s="459"/>
    </row>
    <row r="206" spans="1:11" ht="17.45" customHeight="1" x14ac:dyDescent="0.2">
      <c r="A206" s="136"/>
      <c r="B206" s="439" t="s">
        <v>13</v>
      </c>
      <c r="C206" s="440"/>
      <c r="D206" s="441"/>
      <c r="E206" s="441"/>
      <c r="F206" s="441"/>
      <c r="G206" s="441"/>
      <c r="H206" s="441"/>
      <c r="I206" s="446">
        <v>136.38999999999999</v>
      </c>
      <c r="J206" s="447"/>
    </row>
    <row r="207" spans="1:11" ht="17.45" customHeight="1" x14ac:dyDescent="0.2">
      <c r="A207" s="148"/>
      <c r="B207" s="238"/>
      <c r="C207" s="239"/>
      <c r="D207" s="460" t="s">
        <v>14</v>
      </c>
      <c r="E207" s="460"/>
      <c r="F207" s="460"/>
      <c r="G207" s="460"/>
      <c r="H207" s="460"/>
      <c r="I207" s="460"/>
      <c r="J207" s="461"/>
    </row>
    <row r="208" spans="1:11" ht="30" customHeight="1" x14ac:dyDescent="0.2">
      <c r="A208" s="140"/>
      <c r="B208" s="170" t="s">
        <v>29</v>
      </c>
      <c r="C208" s="176"/>
      <c r="D208" s="198" t="s">
        <v>7</v>
      </c>
      <c r="E208" s="171" t="s">
        <v>0</v>
      </c>
      <c r="F208" s="171" t="s">
        <v>10</v>
      </c>
      <c r="G208" s="462" t="s">
        <v>11</v>
      </c>
      <c r="H208" s="462"/>
      <c r="I208" s="462" t="s">
        <v>12</v>
      </c>
      <c r="J208" s="463"/>
    </row>
    <row r="209" spans="1:13" x14ac:dyDescent="0.2">
      <c r="A209" s="140"/>
      <c r="B209" s="153"/>
      <c r="C209" s="154"/>
      <c r="D209" s="191"/>
      <c r="E209" s="155"/>
      <c r="F209" s="156"/>
      <c r="G209" s="428"/>
      <c r="H209" s="429"/>
      <c r="I209" s="430"/>
      <c r="J209" s="431"/>
    </row>
    <row r="210" spans="1:13" x14ac:dyDescent="0.2">
      <c r="A210" s="140"/>
      <c r="B210" s="157"/>
      <c r="C210" s="158"/>
      <c r="D210" s="196"/>
      <c r="E210" s="159"/>
      <c r="F210" s="160"/>
      <c r="G210" s="432"/>
      <c r="H210" s="433"/>
      <c r="I210" s="434"/>
      <c r="J210" s="435"/>
    </row>
    <row r="211" spans="1:13" ht="17.45" customHeight="1" x14ac:dyDescent="0.2">
      <c r="A211" s="140"/>
      <c r="B211" s="175"/>
      <c r="C211" s="162"/>
      <c r="D211" s="199"/>
      <c r="E211" s="163"/>
      <c r="F211" s="177"/>
      <c r="G211" s="436"/>
      <c r="H211" s="437"/>
      <c r="I211" s="436"/>
      <c r="J211" s="438"/>
    </row>
    <row r="212" spans="1:13" ht="17.45" customHeight="1" x14ac:dyDescent="0.2">
      <c r="A212" s="136"/>
      <c r="B212" s="439" t="s">
        <v>15</v>
      </c>
      <c r="C212" s="440"/>
      <c r="D212" s="441"/>
      <c r="E212" s="441"/>
      <c r="F212" s="441"/>
      <c r="G212" s="441"/>
      <c r="H212" s="441"/>
      <c r="I212" s="442">
        <v>0</v>
      </c>
      <c r="J212" s="443"/>
    </row>
    <row r="213" spans="1:13" ht="17.45" customHeight="1" x14ac:dyDescent="0.2">
      <c r="A213" s="136"/>
      <c r="B213" s="439" t="s">
        <v>16</v>
      </c>
      <c r="C213" s="440"/>
      <c r="D213" s="441"/>
      <c r="E213" s="441"/>
      <c r="F213" s="441"/>
      <c r="G213" s="441"/>
      <c r="H213" s="441"/>
      <c r="I213" s="444">
        <v>175.48</v>
      </c>
      <c r="J213" s="445"/>
    </row>
    <row r="214" spans="1:13" ht="17.45" customHeight="1" x14ac:dyDescent="0.2">
      <c r="A214" s="140"/>
      <c r="B214" s="178"/>
      <c r="C214" s="179"/>
      <c r="D214" s="193" t="s">
        <v>17</v>
      </c>
      <c r="E214" s="180"/>
      <c r="F214" s="164">
        <v>0</v>
      </c>
      <c r="G214" s="240"/>
      <c r="H214" s="240"/>
      <c r="I214" s="446">
        <v>0</v>
      </c>
      <c r="J214" s="447"/>
    </row>
    <row r="215" spans="1:13" ht="17.45" customHeight="1" x14ac:dyDescent="0.2">
      <c r="A215" s="136"/>
      <c r="B215" s="439" t="s">
        <v>18</v>
      </c>
      <c r="C215" s="440"/>
      <c r="D215" s="441"/>
      <c r="E215" s="441"/>
      <c r="F215" s="441"/>
      <c r="G215" s="441"/>
      <c r="H215" s="441"/>
      <c r="I215" s="448">
        <v>175.48</v>
      </c>
      <c r="J215" s="449"/>
    </row>
    <row r="216" spans="1:13" ht="17.45" customHeight="1" x14ac:dyDescent="0.2">
      <c r="A216" s="141"/>
      <c r="B216" s="450" t="s">
        <v>1214</v>
      </c>
      <c r="C216" s="451"/>
      <c r="D216" s="451"/>
      <c r="E216" s="451"/>
      <c r="F216" s="451"/>
      <c r="G216" s="451"/>
      <c r="H216" s="451"/>
      <c r="I216" s="451"/>
      <c r="J216" s="452"/>
    </row>
    <row r="217" spans="1:13" ht="17.45" customHeight="1" thickBot="1" x14ac:dyDescent="0.25">
      <c r="A217" s="140"/>
      <c r="B217" s="453"/>
      <c r="C217" s="454"/>
      <c r="D217" s="454"/>
      <c r="E217" s="454"/>
      <c r="F217" s="454"/>
      <c r="G217" s="454"/>
      <c r="H217" s="454"/>
      <c r="I217" s="454"/>
      <c r="J217" s="455"/>
    </row>
    <row r="218" spans="1:13" ht="13.5" thickBot="1" x14ac:dyDescent="0.25"/>
    <row r="219" spans="1:13" ht="17.45" customHeight="1" x14ac:dyDescent="0.2">
      <c r="A219" s="136"/>
      <c r="B219" s="476" t="s">
        <v>25</v>
      </c>
      <c r="C219" s="477"/>
      <c r="D219" s="477"/>
      <c r="E219" s="477"/>
      <c r="F219" s="477"/>
      <c r="G219" s="477"/>
      <c r="H219" s="477"/>
      <c r="I219" s="477"/>
      <c r="J219" s="478"/>
      <c r="K219" s="190"/>
      <c r="L219" s="137"/>
    </row>
    <row r="220" spans="1:13" ht="17.45" customHeight="1" x14ac:dyDescent="0.2">
      <c r="A220" s="141"/>
      <c r="B220" s="144" t="s">
        <v>43</v>
      </c>
      <c r="C220" s="241" t="s">
        <v>108</v>
      </c>
      <c r="D220" s="193"/>
      <c r="E220" s="240"/>
      <c r="F220" s="143" t="s">
        <v>113</v>
      </c>
      <c r="G220" s="479"/>
      <c r="H220" s="479"/>
      <c r="I220" s="145"/>
      <c r="J220" s="249">
        <v>44682</v>
      </c>
      <c r="K220" s="190"/>
      <c r="L220" s="137"/>
    </row>
    <row r="221" spans="1:13" ht="17.45" customHeight="1" x14ac:dyDescent="0.2">
      <c r="A221" s="141"/>
      <c r="B221" s="144" t="s">
        <v>4</v>
      </c>
      <c r="C221" s="480" t="s">
        <v>1212</v>
      </c>
      <c r="D221" s="480" t="e">
        <v>#N/A</v>
      </c>
      <c r="E221" s="480" t="e">
        <v>#N/A</v>
      </c>
      <c r="F221" s="480" t="e">
        <v>#N/A</v>
      </c>
      <c r="G221" s="480" t="e">
        <v>#N/A</v>
      </c>
      <c r="H221" s="480" t="e">
        <v>#N/A</v>
      </c>
      <c r="I221" s="480" t="e">
        <v>#N/A</v>
      </c>
      <c r="J221" s="481" t="e">
        <v>#N/A</v>
      </c>
      <c r="K221" s="185" t="s">
        <v>114</v>
      </c>
      <c r="L221" s="186" t="s">
        <v>89</v>
      </c>
      <c r="M221" s="187" t="s">
        <v>115</v>
      </c>
    </row>
    <row r="222" spans="1:13" ht="17.45" customHeight="1" x14ac:dyDescent="0.2">
      <c r="A222" s="140" t="s">
        <v>1199</v>
      </c>
      <c r="B222" s="146" t="s">
        <v>46</v>
      </c>
      <c r="C222" s="239" t="s">
        <v>1199</v>
      </c>
      <c r="D222" s="194" t="s">
        <v>45</v>
      </c>
      <c r="E222" s="482" t="s">
        <v>1213</v>
      </c>
      <c r="F222" s="482"/>
      <c r="G222" s="482"/>
      <c r="H222" s="483"/>
      <c r="I222" s="181" t="s">
        <v>116</v>
      </c>
      <c r="J222" s="183" t="s">
        <v>57</v>
      </c>
      <c r="K222" s="184">
        <v>57.940000000000005</v>
      </c>
      <c r="L222" s="188">
        <v>140.62</v>
      </c>
      <c r="M222" s="189">
        <v>0</v>
      </c>
    </row>
    <row r="223" spans="1:13" ht="17.45" customHeight="1" x14ac:dyDescent="0.2">
      <c r="A223" s="148"/>
      <c r="B223" s="238"/>
      <c r="C223" s="239"/>
      <c r="D223" s="484" t="s">
        <v>6</v>
      </c>
      <c r="E223" s="485"/>
      <c r="F223" s="485"/>
      <c r="G223" s="486"/>
      <c r="H223" s="485"/>
      <c r="I223" s="485"/>
      <c r="J223" s="487"/>
      <c r="K223" s="182"/>
    </row>
    <row r="224" spans="1:13" ht="15" customHeight="1" x14ac:dyDescent="0.2">
      <c r="A224" s="140"/>
      <c r="B224" s="150" t="s">
        <v>29</v>
      </c>
      <c r="C224" s="151" t="s">
        <v>66</v>
      </c>
      <c r="D224" s="195" t="s">
        <v>7</v>
      </c>
      <c r="E224" s="152" t="s">
        <v>30</v>
      </c>
      <c r="F224" s="152" t="s">
        <v>112</v>
      </c>
      <c r="G224" s="488" t="s">
        <v>110</v>
      </c>
      <c r="H224" s="489"/>
      <c r="I224" s="488" t="s">
        <v>111</v>
      </c>
      <c r="J224" s="490"/>
      <c r="K224" s="182"/>
    </row>
    <row r="225" spans="1:10" ht="25.5" x14ac:dyDescent="0.2">
      <c r="A225" s="140"/>
      <c r="B225" s="172" t="s">
        <v>100</v>
      </c>
      <c r="C225" s="154">
        <v>88256</v>
      </c>
      <c r="D225" s="191" t="s">
        <v>52</v>
      </c>
      <c r="E225" s="155" t="s">
        <v>48</v>
      </c>
      <c r="F225" s="156">
        <v>1.06</v>
      </c>
      <c r="G225" s="428">
        <v>43.45</v>
      </c>
      <c r="H225" s="429" t="e">
        <v>#N/A</v>
      </c>
      <c r="I225" s="430">
        <v>46.06</v>
      </c>
      <c r="J225" s="431"/>
    </row>
    <row r="226" spans="1:10" x14ac:dyDescent="0.2">
      <c r="A226" s="140"/>
      <c r="B226" s="157" t="s">
        <v>100</v>
      </c>
      <c r="C226" s="158">
        <v>88316</v>
      </c>
      <c r="D226" s="196" t="s">
        <v>56</v>
      </c>
      <c r="E226" s="159" t="s">
        <v>48</v>
      </c>
      <c r="F226" s="160">
        <v>0.37</v>
      </c>
      <c r="G226" s="432">
        <v>32.119999999999997</v>
      </c>
      <c r="H226" s="433" t="e">
        <v>#N/A</v>
      </c>
      <c r="I226" s="434">
        <v>11.88</v>
      </c>
      <c r="J226" s="435"/>
    </row>
    <row r="227" spans="1:10" ht="17.45" customHeight="1" x14ac:dyDescent="0.2">
      <c r="A227" s="140"/>
      <c r="B227" s="161"/>
      <c r="C227" s="162"/>
      <c r="D227" s="197"/>
      <c r="E227" s="163"/>
      <c r="F227" s="163"/>
      <c r="G227" s="456"/>
      <c r="H227" s="457"/>
      <c r="I227" s="464"/>
      <c r="J227" s="465"/>
    </row>
    <row r="228" spans="1:10" ht="17.45" customHeight="1" x14ac:dyDescent="0.2">
      <c r="A228" s="136"/>
      <c r="B228" s="466" t="s">
        <v>44</v>
      </c>
      <c r="C228" s="467"/>
      <c r="D228" s="468"/>
      <c r="E228" s="468"/>
      <c r="F228" s="468"/>
      <c r="G228" s="468"/>
      <c r="H228" s="468"/>
      <c r="I228" s="469">
        <v>57.940000000000005</v>
      </c>
      <c r="J228" s="470"/>
    </row>
    <row r="229" spans="1:10" ht="17.45" customHeight="1" x14ac:dyDescent="0.2">
      <c r="A229" s="136"/>
      <c r="B229" s="466" t="s">
        <v>117</v>
      </c>
      <c r="C229" s="467"/>
      <c r="D229" s="468"/>
      <c r="E229" s="468"/>
      <c r="F229" s="164"/>
      <c r="G229" s="244"/>
      <c r="H229" s="242"/>
      <c r="I229" s="471">
        <v>0</v>
      </c>
      <c r="J229" s="472"/>
    </row>
    <row r="230" spans="1:10" ht="17.45" customHeight="1" x14ac:dyDescent="0.2">
      <c r="A230" s="136"/>
      <c r="B230" s="439" t="s">
        <v>8</v>
      </c>
      <c r="C230" s="440"/>
      <c r="D230" s="441"/>
      <c r="E230" s="441"/>
      <c r="F230" s="441"/>
      <c r="G230" s="441"/>
      <c r="H230" s="441"/>
      <c r="I230" s="473">
        <v>57.940000000000005</v>
      </c>
      <c r="J230" s="474"/>
    </row>
    <row r="231" spans="1:10" ht="17.45" customHeight="1" x14ac:dyDescent="0.2">
      <c r="A231" s="148"/>
      <c r="B231" s="243"/>
      <c r="C231" s="142"/>
      <c r="D231" s="475" t="s">
        <v>9</v>
      </c>
      <c r="E231" s="475"/>
      <c r="F231" s="460"/>
      <c r="G231" s="460"/>
      <c r="H231" s="460"/>
      <c r="I231" s="460"/>
      <c r="J231" s="461"/>
    </row>
    <row r="232" spans="1:10" ht="30" customHeight="1" x14ac:dyDescent="0.2">
      <c r="A232" s="140"/>
      <c r="B232" s="170" t="s">
        <v>29</v>
      </c>
      <c r="C232" s="151" t="s">
        <v>66</v>
      </c>
      <c r="D232" s="198" t="s">
        <v>7</v>
      </c>
      <c r="E232" s="171" t="s">
        <v>0</v>
      </c>
      <c r="F232" s="171" t="s">
        <v>10</v>
      </c>
      <c r="G232" s="462" t="s">
        <v>11</v>
      </c>
      <c r="H232" s="462"/>
      <c r="I232" s="462" t="s">
        <v>12</v>
      </c>
      <c r="J232" s="463"/>
    </row>
    <row r="233" spans="1:10" ht="25.5" x14ac:dyDescent="0.2">
      <c r="A233" s="140"/>
      <c r="B233" s="172" t="s">
        <v>2339</v>
      </c>
      <c r="C233" s="154" t="s">
        <v>1193</v>
      </c>
      <c r="D233" s="191" t="s">
        <v>1190</v>
      </c>
      <c r="E233" s="155" t="s">
        <v>57</v>
      </c>
      <c r="F233" s="156">
        <v>1.1200000000000001</v>
      </c>
      <c r="G233" s="428">
        <v>105.73278245835476</v>
      </c>
      <c r="H233" s="429" t="e">
        <v>#N/A</v>
      </c>
      <c r="I233" s="430">
        <v>118.42</v>
      </c>
      <c r="J233" s="431"/>
    </row>
    <row r="234" spans="1:10" x14ac:dyDescent="0.2">
      <c r="A234" s="140"/>
      <c r="B234" s="157" t="s">
        <v>2339</v>
      </c>
      <c r="C234" s="158" t="s">
        <v>1195</v>
      </c>
      <c r="D234" s="196" t="s">
        <v>1192</v>
      </c>
      <c r="E234" s="159" t="s">
        <v>1</v>
      </c>
      <c r="F234" s="160">
        <v>8.6199999999999992</v>
      </c>
      <c r="G234" s="432">
        <v>2.4888424714054489</v>
      </c>
      <c r="H234" s="433" t="e">
        <v>#N/A</v>
      </c>
      <c r="I234" s="434">
        <v>21.45</v>
      </c>
      <c r="J234" s="435"/>
    </row>
    <row r="235" spans="1:10" x14ac:dyDescent="0.2">
      <c r="A235" s="140"/>
      <c r="B235" s="157" t="s">
        <v>2339</v>
      </c>
      <c r="C235" s="158" t="s">
        <v>1196</v>
      </c>
      <c r="D235" s="196" t="s">
        <v>1191</v>
      </c>
      <c r="E235" s="159" t="s">
        <v>1</v>
      </c>
      <c r="F235" s="160">
        <v>0.14000000000000001</v>
      </c>
      <c r="G235" s="432">
        <v>5.3216713006474237</v>
      </c>
      <c r="H235" s="433" t="e">
        <v>#N/A</v>
      </c>
      <c r="I235" s="434">
        <v>0.75</v>
      </c>
      <c r="J235" s="435"/>
    </row>
    <row r="236" spans="1:10" ht="17.45" customHeight="1" x14ac:dyDescent="0.2">
      <c r="A236" s="140"/>
      <c r="B236" s="175"/>
      <c r="C236" s="248"/>
      <c r="D236" s="199"/>
      <c r="E236" s="163"/>
      <c r="F236" s="163"/>
      <c r="G236" s="456"/>
      <c r="H236" s="457"/>
      <c r="I236" s="458"/>
      <c r="J236" s="459"/>
    </row>
    <row r="237" spans="1:10" ht="17.45" customHeight="1" x14ac:dyDescent="0.2">
      <c r="A237" s="136"/>
      <c r="B237" s="439" t="s">
        <v>13</v>
      </c>
      <c r="C237" s="440"/>
      <c r="D237" s="441"/>
      <c r="E237" s="441"/>
      <c r="F237" s="441"/>
      <c r="G237" s="441"/>
      <c r="H237" s="441"/>
      <c r="I237" s="446">
        <v>140.62</v>
      </c>
      <c r="J237" s="447"/>
    </row>
    <row r="238" spans="1:10" ht="17.45" customHeight="1" x14ac:dyDescent="0.2">
      <c r="A238" s="148"/>
      <c r="B238" s="238"/>
      <c r="C238" s="239"/>
      <c r="D238" s="460" t="s">
        <v>14</v>
      </c>
      <c r="E238" s="460"/>
      <c r="F238" s="460"/>
      <c r="G238" s="460"/>
      <c r="H238" s="460"/>
      <c r="I238" s="460"/>
      <c r="J238" s="461"/>
    </row>
    <row r="239" spans="1:10" ht="30" customHeight="1" x14ac:dyDescent="0.2">
      <c r="A239" s="140"/>
      <c r="B239" s="170" t="s">
        <v>29</v>
      </c>
      <c r="C239" s="176"/>
      <c r="D239" s="198" t="s">
        <v>7</v>
      </c>
      <c r="E239" s="171" t="s">
        <v>0</v>
      </c>
      <c r="F239" s="171" t="s">
        <v>10</v>
      </c>
      <c r="G239" s="462" t="s">
        <v>11</v>
      </c>
      <c r="H239" s="462"/>
      <c r="I239" s="462" t="s">
        <v>12</v>
      </c>
      <c r="J239" s="463"/>
    </row>
    <row r="240" spans="1:10" x14ac:dyDescent="0.2">
      <c r="A240" s="140"/>
      <c r="B240" s="153"/>
      <c r="C240" s="154"/>
      <c r="D240" s="191"/>
      <c r="E240" s="155"/>
      <c r="F240" s="156"/>
      <c r="G240" s="428"/>
      <c r="H240" s="429"/>
      <c r="I240" s="430"/>
      <c r="J240" s="431"/>
    </row>
    <row r="241" spans="1:13" x14ac:dyDescent="0.2">
      <c r="A241" s="140"/>
      <c r="B241" s="157"/>
      <c r="C241" s="158"/>
      <c r="D241" s="196"/>
      <c r="E241" s="159"/>
      <c r="F241" s="160"/>
      <c r="G241" s="432"/>
      <c r="H241" s="433"/>
      <c r="I241" s="434"/>
      <c r="J241" s="435"/>
    </row>
    <row r="242" spans="1:13" ht="17.45" customHeight="1" x14ac:dyDescent="0.2">
      <c r="A242" s="140"/>
      <c r="B242" s="175"/>
      <c r="C242" s="162"/>
      <c r="D242" s="199"/>
      <c r="E242" s="163"/>
      <c r="F242" s="177"/>
      <c r="G242" s="436"/>
      <c r="H242" s="437"/>
      <c r="I242" s="436"/>
      <c r="J242" s="438"/>
    </row>
    <row r="243" spans="1:13" ht="17.45" customHeight="1" x14ac:dyDescent="0.2">
      <c r="A243" s="136"/>
      <c r="B243" s="439" t="s">
        <v>15</v>
      </c>
      <c r="C243" s="440"/>
      <c r="D243" s="441"/>
      <c r="E243" s="441"/>
      <c r="F243" s="441"/>
      <c r="G243" s="441"/>
      <c r="H243" s="441"/>
      <c r="I243" s="442">
        <v>0</v>
      </c>
      <c r="J243" s="443"/>
    </row>
    <row r="244" spans="1:13" ht="17.45" customHeight="1" x14ac:dyDescent="0.2">
      <c r="A244" s="136"/>
      <c r="B244" s="439" t="s">
        <v>16</v>
      </c>
      <c r="C244" s="440"/>
      <c r="D244" s="441"/>
      <c r="E244" s="441"/>
      <c r="F244" s="441"/>
      <c r="G244" s="441"/>
      <c r="H244" s="441"/>
      <c r="I244" s="444">
        <v>198.56</v>
      </c>
      <c r="J244" s="445"/>
    </row>
    <row r="245" spans="1:13" ht="17.45" customHeight="1" x14ac:dyDescent="0.2">
      <c r="A245" s="140"/>
      <c r="B245" s="178"/>
      <c r="C245" s="179"/>
      <c r="D245" s="193" t="s">
        <v>17</v>
      </c>
      <c r="E245" s="180"/>
      <c r="F245" s="164">
        <v>0</v>
      </c>
      <c r="G245" s="240"/>
      <c r="H245" s="240"/>
      <c r="I245" s="446">
        <v>0</v>
      </c>
      <c r="J245" s="447"/>
    </row>
    <row r="246" spans="1:13" ht="17.45" customHeight="1" x14ac:dyDescent="0.2">
      <c r="A246" s="136"/>
      <c r="B246" s="439" t="s">
        <v>18</v>
      </c>
      <c r="C246" s="440"/>
      <c r="D246" s="441"/>
      <c r="E246" s="441"/>
      <c r="F246" s="441"/>
      <c r="G246" s="441"/>
      <c r="H246" s="441"/>
      <c r="I246" s="448">
        <v>198.56</v>
      </c>
      <c r="J246" s="449"/>
    </row>
    <row r="247" spans="1:13" ht="17.45" customHeight="1" x14ac:dyDescent="0.2">
      <c r="A247" s="141"/>
      <c r="B247" s="450" t="s">
        <v>1214</v>
      </c>
      <c r="C247" s="451"/>
      <c r="D247" s="451"/>
      <c r="E247" s="451"/>
      <c r="F247" s="451"/>
      <c r="G247" s="451"/>
      <c r="H247" s="451"/>
      <c r="I247" s="451"/>
      <c r="J247" s="452"/>
    </row>
    <row r="248" spans="1:13" ht="17.45" customHeight="1" thickBot="1" x14ac:dyDescent="0.25">
      <c r="A248" s="140"/>
      <c r="B248" s="453"/>
      <c r="C248" s="454"/>
      <c r="D248" s="454"/>
      <c r="E248" s="454"/>
      <c r="F248" s="454"/>
      <c r="G248" s="454"/>
      <c r="H248" s="454"/>
      <c r="I248" s="454"/>
      <c r="J248" s="455"/>
    </row>
    <row r="249" spans="1:13" ht="13.5" thickBot="1" x14ac:dyDescent="0.25"/>
    <row r="250" spans="1:13" ht="17.45" customHeight="1" x14ac:dyDescent="0.2">
      <c r="A250" s="136"/>
      <c r="B250" s="476" t="s">
        <v>25</v>
      </c>
      <c r="C250" s="477"/>
      <c r="D250" s="477"/>
      <c r="E250" s="477"/>
      <c r="F250" s="477"/>
      <c r="G250" s="477"/>
      <c r="H250" s="477"/>
      <c r="I250" s="477"/>
      <c r="J250" s="478"/>
      <c r="K250" s="190"/>
      <c r="L250" s="137"/>
    </row>
    <row r="251" spans="1:13" ht="17.45" customHeight="1" x14ac:dyDescent="0.2">
      <c r="A251" s="141"/>
      <c r="B251" s="144" t="s">
        <v>43</v>
      </c>
      <c r="C251" s="241" t="s">
        <v>108</v>
      </c>
      <c r="D251" s="193"/>
      <c r="E251" s="240"/>
      <c r="F251" s="143" t="s">
        <v>113</v>
      </c>
      <c r="G251" s="479"/>
      <c r="H251" s="479"/>
      <c r="I251" s="145"/>
      <c r="J251" s="249">
        <v>44682</v>
      </c>
      <c r="K251" s="190"/>
      <c r="L251" s="137"/>
    </row>
    <row r="252" spans="1:13" ht="17.45" customHeight="1" x14ac:dyDescent="0.2">
      <c r="A252" s="141"/>
      <c r="B252" s="144" t="s">
        <v>4</v>
      </c>
      <c r="C252" s="480" t="s">
        <v>1200</v>
      </c>
      <c r="D252" s="480" t="e">
        <v>#N/A</v>
      </c>
      <c r="E252" s="480" t="e">
        <v>#N/A</v>
      </c>
      <c r="F252" s="480" t="e">
        <v>#N/A</v>
      </c>
      <c r="G252" s="480" t="e">
        <v>#N/A</v>
      </c>
      <c r="H252" s="480" t="e">
        <v>#N/A</v>
      </c>
      <c r="I252" s="480" t="e">
        <v>#N/A</v>
      </c>
      <c r="J252" s="481" t="e">
        <v>#N/A</v>
      </c>
      <c r="K252" s="185" t="s">
        <v>114</v>
      </c>
      <c r="L252" s="186" t="s">
        <v>89</v>
      </c>
      <c r="M252" s="187" t="s">
        <v>115</v>
      </c>
    </row>
    <row r="253" spans="1:13" ht="17.45" customHeight="1" x14ac:dyDescent="0.2">
      <c r="A253" s="140" t="s">
        <v>1204</v>
      </c>
      <c r="B253" s="146" t="s">
        <v>46</v>
      </c>
      <c r="C253" s="239" t="s">
        <v>1204</v>
      </c>
      <c r="D253" s="194" t="s">
        <v>45</v>
      </c>
      <c r="E253" s="482" t="s">
        <v>1216</v>
      </c>
      <c r="F253" s="482"/>
      <c r="G253" s="482"/>
      <c r="H253" s="483"/>
      <c r="I253" s="181" t="s">
        <v>116</v>
      </c>
      <c r="J253" s="183" t="s">
        <v>2</v>
      </c>
      <c r="K253" s="184">
        <v>4.6899999999999995</v>
      </c>
      <c r="L253" s="188">
        <v>24.25</v>
      </c>
      <c r="M253" s="189">
        <v>0</v>
      </c>
    </row>
    <row r="254" spans="1:13" ht="17.45" customHeight="1" x14ac:dyDescent="0.2">
      <c r="A254" s="148"/>
      <c r="B254" s="238"/>
      <c r="C254" s="179" t="s">
        <v>1247</v>
      </c>
      <c r="D254" s="484" t="s">
        <v>6</v>
      </c>
      <c r="E254" s="485"/>
      <c r="F254" s="485"/>
      <c r="G254" s="486"/>
      <c r="H254" s="485"/>
      <c r="I254" s="485"/>
      <c r="J254" s="487"/>
      <c r="K254" s="182"/>
    </row>
    <row r="255" spans="1:13" ht="15" customHeight="1" x14ac:dyDescent="0.2">
      <c r="A255" s="140"/>
      <c r="B255" s="150" t="s">
        <v>29</v>
      </c>
      <c r="C255" s="151" t="s">
        <v>66</v>
      </c>
      <c r="D255" s="195" t="s">
        <v>7</v>
      </c>
      <c r="E255" s="152" t="s">
        <v>30</v>
      </c>
      <c r="F255" s="152" t="s">
        <v>112</v>
      </c>
      <c r="G255" s="488" t="s">
        <v>110</v>
      </c>
      <c r="H255" s="489"/>
      <c r="I255" s="488" t="s">
        <v>111</v>
      </c>
      <c r="J255" s="490"/>
      <c r="K255" s="182"/>
    </row>
    <row r="256" spans="1:13" ht="25.5" x14ac:dyDescent="0.2">
      <c r="A256" s="140"/>
      <c r="B256" s="172" t="s">
        <v>100</v>
      </c>
      <c r="C256" s="154">
        <v>88256</v>
      </c>
      <c r="D256" s="191" t="s">
        <v>52</v>
      </c>
      <c r="E256" s="155" t="s">
        <v>48</v>
      </c>
      <c r="F256" s="156">
        <v>8.5000000000000006E-2</v>
      </c>
      <c r="G256" s="428">
        <v>43.45</v>
      </c>
      <c r="H256" s="429" t="e">
        <v>#N/A</v>
      </c>
      <c r="I256" s="430">
        <v>3.69</v>
      </c>
      <c r="J256" s="431"/>
    </row>
    <row r="257" spans="1:10" x14ac:dyDescent="0.2">
      <c r="A257" s="140"/>
      <c r="B257" s="157" t="s">
        <v>100</v>
      </c>
      <c r="C257" s="158">
        <v>88316</v>
      </c>
      <c r="D257" s="196" t="s">
        <v>56</v>
      </c>
      <c r="E257" s="159" t="s">
        <v>48</v>
      </c>
      <c r="F257" s="160">
        <v>3.1E-2</v>
      </c>
      <c r="G257" s="432">
        <v>32.119999999999997</v>
      </c>
      <c r="H257" s="433" t="e">
        <v>#N/A</v>
      </c>
      <c r="I257" s="434">
        <v>1</v>
      </c>
      <c r="J257" s="435"/>
    </row>
    <row r="258" spans="1:10" ht="17.45" customHeight="1" x14ac:dyDescent="0.2">
      <c r="A258" s="140"/>
      <c r="B258" s="161"/>
      <c r="C258" s="162"/>
      <c r="D258" s="197"/>
      <c r="E258" s="163"/>
      <c r="F258" s="163"/>
      <c r="G258" s="456"/>
      <c r="H258" s="457"/>
      <c r="I258" s="464"/>
      <c r="J258" s="465"/>
    </row>
    <row r="259" spans="1:10" ht="17.45" customHeight="1" x14ac:dyDescent="0.2">
      <c r="A259" s="136"/>
      <c r="B259" s="466" t="s">
        <v>44</v>
      </c>
      <c r="C259" s="467"/>
      <c r="D259" s="468"/>
      <c r="E259" s="468"/>
      <c r="F259" s="468"/>
      <c r="G259" s="468"/>
      <c r="H259" s="468"/>
      <c r="I259" s="469">
        <v>4.6899999999999995</v>
      </c>
      <c r="J259" s="470"/>
    </row>
    <row r="260" spans="1:10" ht="17.45" customHeight="1" x14ac:dyDescent="0.2">
      <c r="A260" s="136"/>
      <c r="B260" s="466" t="s">
        <v>117</v>
      </c>
      <c r="C260" s="467"/>
      <c r="D260" s="468"/>
      <c r="E260" s="468"/>
      <c r="F260" s="164"/>
      <c r="G260" s="244"/>
      <c r="H260" s="242"/>
      <c r="I260" s="471">
        <v>0</v>
      </c>
      <c r="J260" s="472"/>
    </row>
    <row r="261" spans="1:10" ht="17.45" customHeight="1" x14ac:dyDescent="0.2">
      <c r="A261" s="136"/>
      <c r="B261" s="439" t="s">
        <v>8</v>
      </c>
      <c r="C261" s="440"/>
      <c r="D261" s="441"/>
      <c r="E261" s="441"/>
      <c r="F261" s="441"/>
      <c r="G261" s="441"/>
      <c r="H261" s="441"/>
      <c r="I261" s="473">
        <v>4.6899999999999995</v>
      </c>
      <c r="J261" s="474"/>
    </row>
    <row r="262" spans="1:10" ht="17.45" customHeight="1" x14ac:dyDescent="0.2">
      <c r="A262" s="148"/>
      <c r="B262" s="243"/>
      <c r="C262" s="142"/>
      <c r="D262" s="475" t="s">
        <v>9</v>
      </c>
      <c r="E262" s="475"/>
      <c r="F262" s="460"/>
      <c r="G262" s="460"/>
      <c r="H262" s="460"/>
      <c r="I262" s="460"/>
      <c r="J262" s="461"/>
    </row>
    <row r="263" spans="1:10" ht="30" customHeight="1" x14ac:dyDescent="0.2">
      <c r="A263" s="140"/>
      <c r="B263" s="170" t="s">
        <v>29</v>
      </c>
      <c r="C263" s="151" t="s">
        <v>66</v>
      </c>
      <c r="D263" s="198" t="s">
        <v>7</v>
      </c>
      <c r="E263" s="171" t="s">
        <v>0</v>
      </c>
      <c r="F263" s="171" t="s">
        <v>10</v>
      </c>
      <c r="G263" s="462" t="s">
        <v>11</v>
      </c>
      <c r="H263" s="462"/>
      <c r="I263" s="462" t="s">
        <v>12</v>
      </c>
      <c r="J263" s="463"/>
    </row>
    <row r="264" spans="1:10" ht="25.5" x14ac:dyDescent="0.2">
      <c r="A264" s="140"/>
      <c r="B264" s="172" t="s">
        <v>2339</v>
      </c>
      <c r="C264" s="154" t="s">
        <v>1194</v>
      </c>
      <c r="D264" s="191" t="s">
        <v>1189</v>
      </c>
      <c r="E264" s="155" t="s">
        <v>2</v>
      </c>
      <c r="F264" s="156">
        <v>1.05</v>
      </c>
      <c r="G264" s="428">
        <v>21.235818916948979</v>
      </c>
      <c r="H264" s="429" t="e">
        <v>#N/A</v>
      </c>
      <c r="I264" s="430">
        <v>22.3</v>
      </c>
      <c r="J264" s="431"/>
    </row>
    <row r="265" spans="1:10" x14ac:dyDescent="0.2">
      <c r="A265" s="140"/>
      <c r="B265" s="157" t="s">
        <v>2339</v>
      </c>
      <c r="C265" s="158" t="s">
        <v>1195</v>
      </c>
      <c r="D265" s="196" t="s">
        <v>1192</v>
      </c>
      <c r="E265" s="159" t="s">
        <v>1</v>
      </c>
      <c r="F265" s="160">
        <v>0.60299999999999998</v>
      </c>
      <c r="G265" s="432">
        <v>2.4888424714054489</v>
      </c>
      <c r="H265" s="433" t="e">
        <v>#N/A</v>
      </c>
      <c r="I265" s="434">
        <v>1.5</v>
      </c>
      <c r="J265" s="435"/>
    </row>
    <row r="266" spans="1:10" x14ac:dyDescent="0.2">
      <c r="A266" s="140"/>
      <c r="B266" s="157" t="s">
        <v>2339</v>
      </c>
      <c r="C266" s="158" t="s">
        <v>1196</v>
      </c>
      <c r="D266" s="196" t="s">
        <v>1191</v>
      </c>
      <c r="E266" s="159" t="s">
        <v>1</v>
      </c>
      <c r="F266" s="160">
        <v>8.4000000000000005E-2</v>
      </c>
      <c r="G266" s="432">
        <v>5.3216713006474237</v>
      </c>
      <c r="H266" s="433" t="e">
        <v>#N/A</v>
      </c>
      <c r="I266" s="434">
        <v>0.45</v>
      </c>
      <c r="J266" s="435"/>
    </row>
    <row r="267" spans="1:10" ht="17.45" customHeight="1" x14ac:dyDescent="0.2">
      <c r="A267" s="140"/>
      <c r="B267" s="175"/>
      <c r="C267" s="248"/>
      <c r="D267" s="199"/>
      <c r="E267" s="163"/>
      <c r="F267" s="163"/>
      <c r="G267" s="456"/>
      <c r="H267" s="457"/>
      <c r="I267" s="458"/>
      <c r="J267" s="459"/>
    </row>
    <row r="268" spans="1:10" ht="17.45" customHeight="1" x14ac:dyDescent="0.2">
      <c r="A268" s="136"/>
      <c r="B268" s="439" t="s">
        <v>13</v>
      </c>
      <c r="C268" s="440"/>
      <c r="D268" s="441"/>
      <c r="E268" s="441"/>
      <c r="F268" s="441"/>
      <c r="G268" s="441"/>
      <c r="H268" s="441"/>
      <c r="I268" s="446">
        <v>24.25</v>
      </c>
      <c r="J268" s="447"/>
    </row>
    <row r="269" spans="1:10" ht="17.45" customHeight="1" x14ac:dyDescent="0.2">
      <c r="A269" s="148"/>
      <c r="B269" s="238"/>
      <c r="C269" s="239"/>
      <c r="D269" s="460" t="s">
        <v>14</v>
      </c>
      <c r="E269" s="460"/>
      <c r="F269" s="460"/>
      <c r="G269" s="460"/>
      <c r="H269" s="460"/>
      <c r="I269" s="460"/>
      <c r="J269" s="461"/>
    </row>
    <row r="270" spans="1:10" ht="30" customHeight="1" x14ac:dyDescent="0.2">
      <c r="A270" s="140"/>
      <c r="B270" s="170" t="s">
        <v>29</v>
      </c>
      <c r="C270" s="176"/>
      <c r="D270" s="198" t="s">
        <v>7</v>
      </c>
      <c r="E270" s="171" t="s">
        <v>0</v>
      </c>
      <c r="F270" s="171" t="s">
        <v>10</v>
      </c>
      <c r="G270" s="462" t="s">
        <v>11</v>
      </c>
      <c r="H270" s="462"/>
      <c r="I270" s="462" t="s">
        <v>12</v>
      </c>
      <c r="J270" s="463"/>
    </row>
    <row r="271" spans="1:10" x14ac:dyDescent="0.2">
      <c r="A271" s="140"/>
      <c r="B271" s="153"/>
      <c r="C271" s="154"/>
      <c r="D271" s="191"/>
      <c r="E271" s="155"/>
      <c r="F271" s="156"/>
      <c r="G271" s="428"/>
      <c r="H271" s="429"/>
      <c r="I271" s="430"/>
      <c r="J271" s="431"/>
    </row>
    <row r="272" spans="1:10" x14ac:dyDescent="0.2">
      <c r="A272" s="140"/>
      <c r="B272" s="157"/>
      <c r="C272" s="158"/>
      <c r="D272" s="196"/>
      <c r="E272" s="159"/>
      <c r="F272" s="160"/>
      <c r="G272" s="432"/>
      <c r="H272" s="433"/>
      <c r="I272" s="434"/>
      <c r="J272" s="435"/>
    </row>
    <row r="273" spans="1:13" ht="17.45" customHeight="1" x14ac:dyDescent="0.2">
      <c r="A273" s="140"/>
      <c r="B273" s="175"/>
      <c r="C273" s="162"/>
      <c r="D273" s="199"/>
      <c r="E273" s="163"/>
      <c r="F273" s="177"/>
      <c r="G273" s="436"/>
      <c r="H273" s="437"/>
      <c r="I273" s="436"/>
      <c r="J273" s="438"/>
    </row>
    <row r="274" spans="1:13" ht="17.45" customHeight="1" x14ac:dyDescent="0.2">
      <c r="A274" s="136"/>
      <c r="B274" s="439" t="s">
        <v>15</v>
      </c>
      <c r="C274" s="440"/>
      <c r="D274" s="441"/>
      <c r="E274" s="441"/>
      <c r="F274" s="441"/>
      <c r="G274" s="441"/>
      <c r="H274" s="441"/>
      <c r="I274" s="442">
        <v>0</v>
      </c>
      <c r="J274" s="443"/>
    </row>
    <row r="275" spans="1:13" ht="17.45" customHeight="1" x14ac:dyDescent="0.2">
      <c r="A275" s="136"/>
      <c r="B275" s="439" t="s">
        <v>16</v>
      </c>
      <c r="C275" s="440"/>
      <c r="D275" s="441"/>
      <c r="E275" s="441"/>
      <c r="F275" s="441"/>
      <c r="G275" s="441"/>
      <c r="H275" s="441"/>
      <c r="I275" s="444">
        <v>28.939999999999998</v>
      </c>
      <c r="J275" s="445"/>
    </row>
    <row r="276" spans="1:13" ht="17.45" customHeight="1" x14ac:dyDescent="0.2">
      <c r="A276" s="140"/>
      <c r="B276" s="178"/>
      <c r="C276" s="179"/>
      <c r="D276" s="193" t="s">
        <v>17</v>
      </c>
      <c r="E276" s="180"/>
      <c r="F276" s="164">
        <v>0</v>
      </c>
      <c r="G276" s="240"/>
      <c r="H276" s="240"/>
      <c r="I276" s="446">
        <v>0</v>
      </c>
      <c r="J276" s="447"/>
    </row>
    <row r="277" spans="1:13" ht="17.45" customHeight="1" x14ac:dyDescent="0.2">
      <c r="A277" s="136"/>
      <c r="B277" s="439" t="s">
        <v>18</v>
      </c>
      <c r="C277" s="440"/>
      <c r="D277" s="441"/>
      <c r="E277" s="441"/>
      <c r="F277" s="441"/>
      <c r="G277" s="441"/>
      <c r="H277" s="441"/>
      <c r="I277" s="448">
        <v>28.939999999999998</v>
      </c>
      <c r="J277" s="449"/>
    </row>
    <row r="278" spans="1:13" ht="17.45" customHeight="1" x14ac:dyDescent="0.2">
      <c r="A278" s="141"/>
      <c r="B278" s="450" t="s">
        <v>1214</v>
      </c>
      <c r="C278" s="451"/>
      <c r="D278" s="451"/>
      <c r="E278" s="451"/>
      <c r="F278" s="451"/>
      <c r="G278" s="451"/>
      <c r="H278" s="451"/>
      <c r="I278" s="451"/>
      <c r="J278" s="452"/>
    </row>
    <row r="279" spans="1:13" ht="17.45" customHeight="1" thickBot="1" x14ac:dyDescent="0.25">
      <c r="A279" s="140"/>
      <c r="B279" s="453"/>
      <c r="C279" s="454"/>
      <c r="D279" s="454"/>
      <c r="E279" s="454"/>
      <c r="F279" s="454"/>
      <c r="G279" s="454"/>
      <c r="H279" s="454"/>
      <c r="I279" s="454"/>
      <c r="J279" s="455"/>
    </row>
    <row r="280" spans="1:13" ht="13.5" thickBot="1" x14ac:dyDescent="0.25"/>
    <row r="281" spans="1:13" ht="17.45" customHeight="1" x14ac:dyDescent="0.2">
      <c r="A281" s="136"/>
      <c r="B281" s="476" t="s">
        <v>25</v>
      </c>
      <c r="C281" s="477"/>
      <c r="D281" s="477"/>
      <c r="E281" s="477"/>
      <c r="F281" s="477"/>
      <c r="G281" s="477"/>
      <c r="H281" s="477"/>
      <c r="I281" s="477"/>
      <c r="J281" s="478"/>
      <c r="K281" s="190"/>
      <c r="L281" s="137"/>
    </row>
    <row r="282" spans="1:13" ht="17.45" customHeight="1" x14ac:dyDescent="0.2">
      <c r="A282" s="141"/>
      <c r="B282" s="144" t="s">
        <v>43</v>
      </c>
      <c r="C282" s="254" t="s">
        <v>108</v>
      </c>
      <c r="D282" s="193"/>
      <c r="E282" s="253"/>
      <c r="F282" s="143" t="s">
        <v>113</v>
      </c>
      <c r="G282" s="479"/>
      <c r="H282" s="479"/>
      <c r="I282" s="145"/>
      <c r="J282" s="249">
        <v>44682</v>
      </c>
      <c r="K282" s="190"/>
      <c r="L282" s="137"/>
    </row>
    <row r="283" spans="1:13" ht="17.45" customHeight="1" x14ac:dyDescent="0.2">
      <c r="A283" s="141"/>
      <c r="B283" s="144" t="s">
        <v>4</v>
      </c>
      <c r="C283" s="480" t="s">
        <v>1271</v>
      </c>
      <c r="D283" s="480" t="e">
        <v>#N/A</v>
      </c>
      <c r="E283" s="480" t="e">
        <v>#N/A</v>
      </c>
      <c r="F283" s="480" t="e">
        <v>#N/A</v>
      </c>
      <c r="G283" s="480" t="e">
        <v>#N/A</v>
      </c>
      <c r="H283" s="480" t="e">
        <v>#N/A</v>
      </c>
      <c r="I283" s="480" t="e">
        <v>#N/A</v>
      </c>
      <c r="J283" s="481" t="e">
        <v>#N/A</v>
      </c>
      <c r="K283" s="185" t="s">
        <v>114</v>
      </c>
      <c r="L283" s="186" t="s">
        <v>89</v>
      </c>
      <c r="M283" s="187" t="s">
        <v>115</v>
      </c>
    </row>
    <row r="284" spans="1:13" ht="17.45" customHeight="1" x14ac:dyDescent="0.2">
      <c r="A284" s="140" t="s">
        <v>1205</v>
      </c>
      <c r="B284" s="146" t="s">
        <v>46</v>
      </c>
      <c r="C284" s="252" t="s">
        <v>1205</v>
      </c>
      <c r="D284" s="194" t="s">
        <v>45</v>
      </c>
      <c r="E284" s="482" t="s">
        <v>1301</v>
      </c>
      <c r="F284" s="482"/>
      <c r="G284" s="482"/>
      <c r="H284" s="483"/>
      <c r="I284" s="181" t="s">
        <v>116</v>
      </c>
      <c r="J284" s="183" t="s">
        <v>57</v>
      </c>
      <c r="K284" s="184">
        <v>3.9</v>
      </c>
      <c r="L284" s="188">
        <v>1145.1600000000001</v>
      </c>
      <c r="M284" s="189">
        <v>0</v>
      </c>
    </row>
    <row r="285" spans="1:13" ht="17.45" customHeight="1" x14ac:dyDescent="0.2">
      <c r="A285" s="148"/>
      <c r="B285" s="251"/>
      <c r="C285" s="179" t="s">
        <v>1247</v>
      </c>
      <c r="D285" s="484" t="s">
        <v>6</v>
      </c>
      <c r="E285" s="485"/>
      <c r="F285" s="485"/>
      <c r="G285" s="486"/>
      <c r="H285" s="485"/>
      <c r="I285" s="485"/>
      <c r="J285" s="487"/>
      <c r="K285" s="182"/>
    </row>
    <row r="286" spans="1:13" ht="15" customHeight="1" x14ac:dyDescent="0.2">
      <c r="A286" s="140"/>
      <c r="B286" s="150" t="s">
        <v>29</v>
      </c>
      <c r="C286" s="151" t="s">
        <v>66</v>
      </c>
      <c r="D286" s="195" t="s">
        <v>7</v>
      </c>
      <c r="E286" s="152" t="s">
        <v>30</v>
      </c>
      <c r="F286" s="152" t="s">
        <v>112</v>
      </c>
      <c r="G286" s="488" t="s">
        <v>110</v>
      </c>
      <c r="H286" s="489"/>
      <c r="I286" s="488" t="s">
        <v>111</v>
      </c>
      <c r="J286" s="490"/>
      <c r="K286" s="182"/>
    </row>
    <row r="287" spans="1:13" ht="25.5" x14ac:dyDescent="0.2">
      <c r="A287" s="140"/>
      <c r="B287" s="172" t="s">
        <v>100</v>
      </c>
      <c r="C287" s="154">
        <v>88274</v>
      </c>
      <c r="D287" s="191" t="s">
        <v>1304</v>
      </c>
      <c r="E287" s="155" t="s">
        <v>48</v>
      </c>
      <c r="F287" s="156">
        <v>8.5000000000000006E-2</v>
      </c>
      <c r="G287" s="428">
        <v>34.07</v>
      </c>
      <c r="H287" s="429" t="e">
        <v>#N/A</v>
      </c>
      <c r="I287" s="430">
        <v>2.9</v>
      </c>
      <c r="J287" s="431"/>
    </row>
    <row r="288" spans="1:13" x14ac:dyDescent="0.2">
      <c r="A288" s="140"/>
      <c r="B288" s="157" t="s">
        <v>100</v>
      </c>
      <c r="C288" s="158">
        <v>88316</v>
      </c>
      <c r="D288" s="196" t="s">
        <v>56</v>
      </c>
      <c r="E288" s="159" t="s">
        <v>48</v>
      </c>
      <c r="F288" s="160">
        <v>3.1E-2</v>
      </c>
      <c r="G288" s="432">
        <v>32.119999999999997</v>
      </c>
      <c r="H288" s="433" t="e">
        <v>#N/A</v>
      </c>
      <c r="I288" s="434">
        <v>1</v>
      </c>
      <c r="J288" s="435"/>
    </row>
    <row r="289" spans="1:10" ht="17.45" customHeight="1" x14ac:dyDescent="0.2">
      <c r="A289" s="140"/>
      <c r="B289" s="161"/>
      <c r="C289" s="162"/>
      <c r="D289" s="197"/>
      <c r="E289" s="163"/>
      <c r="F289" s="163"/>
      <c r="G289" s="456"/>
      <c r="H289" s="457"/>
      <c r="I289" s="464"/>
      <c r="J289" s="465"/>
    </row>
    <row r="290" spans="1:10" ht="17.45" customHeight="1" x14ac:dyDescent="0.2">
      <c r="A290" s="136"/>
      <c r="B290" s="466" t="s">
        <v>44</v>
      </c>
      <c r="C290" s="467"/>
      <c r="D290" s="468"/>
      <c r="E290" s="468"/>
      <c r="F290" s="468"/>
      <c r="G290" s="468"/>
      <c r="H290" s="468"/>
      <c r="I290" s="469">
        <v>3.9</v>
      </c>
      <c r="J290" s="470"/>
    </row>
    <row r="291" spans="1:10" ht="17.45" customHeight="1" x14ac:dyDescent="0.2">
      <c r="A291" s="136"/>
      <c r="B291" s="466" t="s">
        <v>117</v>
      </c>
      <c r="C291" s="467"/>
      <c r="D291" s="468"/>
      <c r="E291" s="468"/>
      <c r="F291" s="164"/>
      <c r="G291" s="257"/>
      <c r="H291" s="255"/>
      <c r="I291" s="471">
        <v>0</v>
      </c>
      <c r="J291" s="472"/>
    </row>
    <row r="292" spans="1:10" ht="17.45" customHeight="1" x14ac:dyDescent="0.2">
      <c r="A292" s="136"/>
      <c r="B292" s="439" t="s">
        <v>8</v>
      </c>
      <c r="C292" s="440"/>
      <c r="D292" s="441"/>
      <c r="E292" s="441"/>
      <c r="F292" s="441"/>
      <c r="G292" s="441"/>
      <c r="H292" s="441"/>
      <c r="I292" s="473">
        <v>3.9</v>
      </c>
      <c r="J292" s="474"/>
    </row>
    <row r="293" spans="1:10" ht="17.45" customHeight="1" x14ac:dyDescent="0.2">
      <c r="A293" s="148"/>
      <c r="B293" s="256"/>
      <c r="C293" s="142"/>
      <c r="D293" s="475" t="s">
        <v>9</v>
      </c>
      <c r="E293" s="475"/>
      <c r="F293" s="460"/>
      <c r="G293" s="460"/>
      <c r="H293" s="460"/>
      <c r="I293" s="460"/>
      <c r="J293" s="461"/>
    </row>
    <row r="294" spans="1:10" ht="30" customHeight="1" x14ac:dyDescent="0.2">
      <c r="A294" s="140"/>
      <c r="B294" s="170" t="s">
        <v>29</v>
      </c>
      <c r="C294" s="151" t="s">
        <v>66</v>
      </c>
      <c r="D294" s="198" t="s">
        <v>7</v>
      </c>
      <c r="E294" s="171" t="s">
        <v>0</v>
      </c>
      <c r="F294" s="171" t="s">
        <v>10</v>
      </c>
      <c r="G294" s="462" t="s">
        <v>11</v>
      </c>
      <c r="H294" s="462"/>
      <c r="I294" s="462" t="s">
        <v>12</v>
      </c>
      <c r="J294" s="463"/>
    </row>
    <row r="295" spans="1:10" ht="38.25" x14ac:dyDescent="0.2">
      <c r="A295" s="140"/>
      <c r="B295" s="172" t="s">
        <v>2339</v>
      </c>
      <c r="C295" s="154" t="s">
        <v>1221</v>
      </c>
      <c r="D295" s="191" t="s">
        <v>1271</v>
      </c>
      <c r="E295" s="155" t="s">
        <v>57</v>
      </c>
      <c r="F295" s="156">
        <v>1</v>
      </c>
      <c r="G295" s="428">
        <v>1124.1507038992843</v>
      </c>
      <c r="H295" s="429" t="e">
        <v>#N/A</v>
      </c>
      <c r="I295" s="430">
        <v>1124.1500000000001</v>
      </c>
      <c r="J295" s="431"/>
    </row>
    <row r="296" spans="1:10" x14ac:dyDescent="0.2">
      <c r="A296" s="140"/>
      <c r="B296" s="157" t="s">
        <v>31</v>
      </c>
      <c r="C296" s="158">
        <v>34357</v>
      </c>
      <c r="D296" s="196" t="s">
        <v>1302</v>
      </c>
      <c r="E296" s="159" t="s">
        <v>102</v>
      </c>
      <c r="F296" s="160">
        <v>0.60299999999999998</v>
      </c>
      <c r="G296" s="432">
        <v>4.1100000000000003</v>
      </c>
      <c r="H296" s="433" t="e">
        <v>#N/A</v>
      </c>
      <c r="I296" s="434">
        <v>2.48</v>
      </c>
      <c r="J296" s="435"/>
    </row>
    <row r="297" spans="1:10" x14ac:dyDescent="0.2">
      <c r="A297" s="140"/>
      <c r="B297" s="157" t="s">
        <v>31</v>
      </c>
      <c r="C297" s="158">
        <v>37595</v>
      </c>
      <c r="D297" s="196" t="s">
        <v>1305</v>
      </c>
      <c r="E297" s="159" t="s">
        <v>1</v>
      </c>
      <c r="F297" s="160">
        <v>8.6199999999999992</v>
      </c>
      <c r="G297" s="432">
        <v>2.15</v>
      </c>
      <c r="H297" s="433" t="e">
        <v>#N/A</v>
      </c>
      <c r="I297" s="434">
        <v>18.53</v>
      </c>
      <c r="J297" s="435"/>
    </row>
    <row r="298" spans="1:10" ht="17.45" customHeight="1" x14ac:dyDescent="0.2">
      <c r="A298" s="140"/>
      <c r="B298" s="175"/>
      <c r="C298" s="248"/>
      <c r="D298" s="199"/>
      <c r="E298" s="163"/>
      <c r="F298" s="163"/>
      <c r="G298" s="456"/>
      <c r="H298" s="457"/>
      <c r="I298" s="458"/>
      <c r="J298" s="459"/>
    </row>
    <row r="299" spans="1:10" ht="17.45" customHeight="1" x14ac:dyDescent="0.2">
      <c r="A299" s="136"/>
      <c r="B299" s="439" t="s">
        <v>13</v>
      </c>
      <c r="C299" s="440"/>
      <c r="D299" s="441"/>
      <c r="E299" s="441"/>
      <c r="F299" s="441"/>
      <c r="G299" s="441"/>
      <c r="H299" s="441"/>
      <c r="I299" s="446">
        <v>1145.1600000000001</v>
      </c>
      <c r="J299" s="447"/>
    </row>
    <row r="300" spans="1:10" ht="17.45" customHeight="1" x14ac:dyDescent="0.2">
      <c r="A300" s="148"/>
      <c r="B300" s="251"/>
      <c r="C300" s="252"/>
      <c r="D300" s="460" t="s">
        <v>14</v>
      </c>
      <c r="E300" s="460"/>
      <c r="F300" s="460"/>
      <c r="G300" s="460"/>
      <c r="H300" s="460"/>
      <c r="I300" s="460"/>
      <c r="J300" s="461"/>
    </row>
    <row r="301" spans="1:10" ht="30" customHeight="1" x14ac:dyDescent="0.2">
      <c r="A301" s="140"/>
      <c r="B301" s="170" t="s">
        <v>29</v>
      </c>
      <c r="C301" s="176"/>
      <c r="D301" s="198" t="s">
        <v>7</v>
      </c>
      <c r="E301" s="171" t="s">
        <v>0</v>
      </c>
      <c r="F301" s="171" t="s">
        <v>10</v>
      </c>
      <c r="G301" s="462" t="s">
        <v>11</v>
      </c>
      <c r="H301" s="462"/>
      <c r="I301" s="462" t="s">
        <v>12</v>
      </c>
      <c r="J301" s="463"/>
    </row>
    <row r="302" spans="1:10" x14ac:dyDescent="0.2">
      <c r="A302" s="140"/>
      <c r="B302" s="153"/>
      <c r="C302" s="154"/>
      <c r="D302" s="191"/>
      <c r="E302" s="155"/>
      <c r="F302" s="156"/>
      <c r="G302" s="428"/>
      <c r="H302" s="429"/>
      <c r="I302" s="430"/>
      <c r="J302" s="431"/>
    </row>
    <row r="303" spans="1:10" x14ac:dyDescent="0.2">
      <c r="A303" s="140"/>
      <c r="B303" s="157"/>
      <c r="C303" s="158"/>
      <c r="D303" s="196"/>
      <c r="E303" s="159"/>
      <c r="F303" s="160"/>
      <c r="G303" s="432"/>
      <c r="H303" s="433"/>
      <c r="I303" s="434"/>
      <c r="J303" s="435"/>
    </row>
    <row r="304" spans="1:10" ht="17.45" customHeight="1" x14ac:dyDescent="0.2">
      <c r="A304" s="140"/>
      <c r="B304" s="175"/>
      <c r="C304" s="162"/>
      <c r="D304" s="199"/>
      <c r="E304" s="163"/>
      <c r="F304" s="177"/>
      <c r="G304" s="436"/>
      <c r="H304" s="437"/>
      <c r="I304" s="436"/>
      <c r="J304" s="438"/>
    </row>
    <row r="305" spans="1:13" ht="17.45" customHeight="1" x14ac:dyDescent="0.2">
      <c r="A305" s="136"/>
      <c r="B305" s="439" t="s">
        <v>15</v>
      </c>
      <c r="C305" s="440"/>
      <c r="D305" s="441"/>
      <c r="E305" s="441"/>
      <c r="F305" s="441"/>
      <c r="G305" s="441"/>
      <c r="H305" s="441"/>
      <c r="I305" s="442">
        <v>0</v>
      </c>
      <c r="J305" s="443"/>
    </row>
    <row r="306" spans="1:13" ht="17.45" customHeight="1" x14ac:dyDescent="0.2">
      <c r="A306" s="136"/>
      <c r="B306" s="439" t="s">
        <v>16</v>
      </c>
      <c r="C306" s="440"/>
      <c r="D306" s="441"/>
      <c r="E306" s="441"/>
      <c r="F306" s="441"/>
      <c r="G306" s="441"/>
      <c r="H306" s="441"/>
      <c r="I306" s="444">
        <v>1149.0600000000002</v>
      </c>
      <c r="J306" s="445"/>
    </row>
    <row r="307" spans="1:13" ht="17.45" customHeight="1" x14ac:dyDescent="0.2">
      <c r="A307" s="140"/>
      <c r="B307" s="178"/>
      <c r="C307" s="179"/>
      <c r="D307" s="193" t="s">
        <v>17</v>
      </c>
      <c r="E307" s="180"/>
      <c r="F307" s="164">
        <v>0</v>
      </c>
      <c r="G307" s="253"/>
      <c r="H307" s="253"/>
      <c r="I307" s="446">
        <v>0</v>
      </c>
      <c r="J307" s="447"/>
    </row>
    <row r="308" spans="1:13" ht="17.45" customHeight="1" x14ac:dyDescent="0.2">
      <c r="A308" s="136"/>
      <c r="B308" s="439" t="s">
        <v>18</v>
      </c>
      <c r="C308" s="440"/>
      <c r="D308" s="441"/>
      <c r="E308" s="441"/>
      <c r="F308" s="441"/>
      <c r="G308" s="441"/>
      <c r="H308" s="441"/>
      <c r="I308" s="448">
        <v>1149.0600000000002</v>
      </c>
      <c r="J308" s="449"/>
    </row>
    <row r="309" spans="1:13" ht="17.45" customHeight="1" x14ac:dyDescent="0.2">
      <c r="A309" s="141"/>
      <c r="B309" s="450" t="s">
        <v>1214</v>
      </c>
      <c r="C309" s="451"/>
      <c r="D309" s="451"/>
      <c r="E309" s="451"/>
      <c r="F309" s="451"/>
      <c r="G309" s="451"/>
      <c r="H309" s="451"/>
      <c r="I309" s="451"/>
      <c r="J309" s="452"/>
    </row>
    <row r="310" spans="1:13" ht="17.45" customHeight="1" thickBot="1" x14ac:dyDescent="0.25">
      <c r="A310" s="140"/>
      <c r="B310" s="453"/>
      <c r="C310" s="454"/>
      <c r="D310" s="454"/>
      <c r="E310" s="454"/>
      <c r="F310" s="454"/>
      <c r="G310" s="454"/>
      <c r="H310" s="454"/>
      <c r="I310" s="454"/>
      <c r="J310" s="455"/>
    </row>
    <row r="311" spans="1:13" ht="13.5" thickBot="1" x14ac:dyDescent="0.25"/>
    <row r="312" spans="1:13" ht="17.45" customHeight="1" x14ac:dyDescent="0.2">
      <c r="A312" s="136"/>
      <c r="B312" s="476" t="s">
        <v>25</v>
      </c>
      <c r="C312" s="477"/>
      <c r="D312" s="477"/>
      <c r="E312" s="477"/>
      <c r="F312" s="477"/>
      <c r="G312" s="477"/>
      <c r="H312" s="477"/>
      <c r="I312" s="477"/>
      <c r="J312" s="478"/>
      <c r="K312" s="190"/>
      <c r="L312" s="137"/>
    </row>
    <row r="313" spans="1:13" ht="17.45" customHeight="1" x14ac:dyDescent="0.2">
      <c r="A313" s="141"/>
      <c r="B313" s="144" t="s">
        <v>43</v>
      </c>
      <c r="C313" s="254" t="s">
        <v>108</v>
      </c>
      <c r="D313" s="193"/>
      <c r="E313" s="253"/>
      <c r="F313" s="143" t="s">
        <v>113</v>
      </c>
      <c r="G313" s="479"/>
      <c r="H313" s="479"/>
      <c r="I313" s="145"/>
      <c r="J313" s="249">
        <v>44682</v>
      </c>
      <c r="K313" s="190"/>
      <c r="L313" s="137"/>
    </row>
    <row r="314" spans="1:13" ht="17.45" customHeight="1" x14ac:dyDescent="0.2">
      <c r="A314" s="141"/>
      <c r="B314" s="144" t="s">
        <v>4</v>
      </c>
      <c r="C314" s="480" t="s">
        <v>1270</v>
      </c>
      <c r="D314" s="480" t="e">
        <v>#N/A</v>
      </c>
      <c r="E314" s="480" t="e">
        <v>#N/A</v>
      </c>
      <c r="F314" s="480" t="e">
        <v>#N/A</v>
      </c>
      <c r="G314" s="480" t="e">
        <v>#N/A</v>
      </c>
      <c r="H314" s="480" t="e">
        <v>#N/A</v>
      </c>
      <c r="I314" s="480" t="e">
        <v>#N/A</v>
      </c>
      <c r="J314" s="481" t="e">
        <v>#N/A</v>
      </c>
      <c r="K314" s="185" t="s">
        <v>114</v>
      </c>
      <c r="L314" s="186" t="s">
        <v>89</v>
      </c>
      <c r="M314" s="187" t="s">
        <v>115</v>
      </c>
    </row>
    <row r="315" spans="1:13" ht="17.45" customHeight="1" x14ac:dyDescent="0.2">
      <c r="A315" s="140" t="s">
        <v>1206</v>
      </c>
      <c r="B315" s="146" t="s">
        <v>46</v>
      </c>
      <c r="C315" s="252" t="s">
        <v>1206</v>
      </c>
      <c r="D315" s="194" t="s">
        <v>45</v>
      </c>
      <c r="E315" s="482" t="s">
        <v>1301</v>
      </c>
      <c r="F315" s="482"/>
      <c r="G315" s="482"/>
      <c r="H315" s="483"/>
      <c r="I315" s="181" t="s">
        <v>116</v>
      </c>
      <c r="J315" s="183" t="s">
        <v>57</v>
      </c>
      <c r="K315" s="184">
        <v>3.9</v>
      </c>
      <c r="L315" s="188">
        <v>1222.9100000000001</v>
      </c>
      <c r="M315" s="189">
        <v>0</v>
      </c>
    </row>
    <row r="316" spans="1:13" ht="17.45" customHeight="1" x14ac:dyDescent="0.2">
      <c r="A316" s="148"/>
      <c r="B316" s="251"/>
      <c r="C316" s="179" t="s">
        <v>1247</v>
      </c>
      <c r="D316" s="484" t="s">
        <v>6</v>
      </c>
      <c r="E316" s="485"/>
      <c r="F316" s="485"/>
      <c r="G316" s="486"/>
      <c r="H316" s="485"/>
      <c r="I316" s="485"/>
      <c r="J316" s="487"/>
      <c r="K316" s="182"/>
    </row>
    <row r="317" spans="1:13" ht="15" customHeight="1" x14ac:dyDescent="0.2">
      <c r="A317" s="140"/>
      <c r="B317" s="150" t="s">
        <v>29</v>
      </c>
      <c r="C317" s="151" t="s">
        <v>66</v>
      </c>
      <c r="D317" s="195" t="s">
        <v>7</v>
      </c>
      <c r="E317" s="152" t="s">
        <v>30</v>
      </c>
      <c r="F317" s="152" t="s">
        <v>112</v>
      </c>
      <c r="G317" s="488" t="s">
        <v>110</v>
      </c>
      <c r="H317" s="489"/>
      <c r="I317" s="488" t="s">
        <v>111</v>
      </c>
      <c r="J317" s="490"/>
      <c r="K317" s="182"/>
    </row>
    <row r="318" spans="1:13" ht="25.5" x14ac:dyDescent="0.2">
      <c r="A318" s="140"/>
      <c r="B318" s="172" t="s">
        <v>100</v>
      </c>
      <c r="C318" s="154">
        <v>88274</v>
      </c>
      <c r="D318" s="191" t="s">
        <v>1304</v>
      </c>
      <c r="E318" s="155" t="s">
        <v>48</v>
      </c>
      <c r="F318" s="156">
        <v>8.5000000000000006E-2</v>
      </c>
      <c r="G318" s="428">
        <v>34.07</v>
      </c>
      <c r="H318" s="429" t="e">
        <v>#N/A</v>
      </c>
      <c r="I318" s="430">
        <v>2.9</v>
      </c>
      <c r="J318" s="431"/>
    </row>
    <row r="319" spans="1:13" x14ac:dyDescent="0.2">
      <c r="A319" s="140"/>
      <c r="B319" s="157" t="s">
        <v>100</v>
      </c>
      <c r="C319" s="158">
        <v>88316</v>
      </c>
      <c r="D319" s="196" t="s">
        <v>56</v>
      </c>
      <c r="E319" s="159" t="s">
        <v>48</v>
      </c>
      <c r="F319" s="160">
        <v>3.1E-2</v>
      </c>
      <c r="G319" s="432">
        <v>32.119999999999997</v>
      </c>
      <c r="H319" s="433" t="e">
        <v>#N/A</v>
      </c>
      <c r="I319" s="434">
        <v>1</v>
      </c>
      <c r="J319" s="435"/>
    </row>
    <row r="320" spans="1:13" ht="17.45" customHeight="1" x14ac:dyDescent="0.2">
      <c r="A320" s="140"/>
      <c r="B320" s="161"/>
      <c r="C320" s="162"/>
      <c r="D320" s="197"/>
      <c r="E320" s="163"/>
      <c r="F320" s="163"/>
      <c r="G320" s="456"/>
      <c r="H320" s="457"/>
      <c r="I320" s="464"/>
      <c r="J320" s="465"/>
    </row>
    <row r="321" spans="1:10" ht="17.45" customHeight="1" x14ac:dyDescent="0.2">
      <c r="A321" s="136"/>
      <c r="B321" s="466" t="s">
        <v>44</v>
      </c>
      <c r="C321" s="467"/>
      <c r="D321" s="468"/>
      <c r="E321" s="468"/>
      <c r="F321" s="468"/>
      <c r="G321" s="468"/>
      <c r="H321" s="468"/>
      <c r="I321" s="469">
        <v>3.9</v>
      </c>
      <c r="J321" s="470"/>
    </row>
    <row r="322" spans="1:10" ht="17.45" customHeight="1" x14ac:dyDescent="0.2">
      <c r="A322" s="136"/>
      <c r="B322" s="466" t="s">
        <v>117</v>
      </c>
      <c r="C322" s="467"/>
      <c r="D322" s="468"/>
      <c r="E322" s="468"/>
      <c r="F322" s="164"/>
      <c r="G322" s="257"/>
      <c r="H322" s="255"/>
      <c r="I322" s="471">
        <v>0</v>
      </c>
      <c r="J322" s="472"/>
    </row>
    <row r="323" spans="1:10" ht="17.45" customHeight="1" x14ac:dyDescent="0.2">
      <c r="A323" s="136"/>
      <c r="B323" s="439" t="s">
        <v>8</v>
      </c>
      <c r="C323" s="440"/>
      <c r="D323" s="441"/>
      <c r="E323" s="441"/>
      <c r="F323" s="441"/>
      <c r="G323" s="441"/>
      <c r="H323" s="441"/>
      <c r="I323" s="473">
        <v>3.9</v>
      </c>
      <c r="J323" s="474"/>
    </row>
    <row r="324" spans="1:10" ht="17.45" customHeight="1" x14ac:dyDescent="0.2">
      <c r="A324" s="148"/>
      <c r="B324" s="256"/>
      <c r="C324" s="142"/>
      <c r="D324" s="475" t="s">
        <v>9</v>
      </c>
      <c r="E324" s="475"/>
      <c r="F324" s="460"/>
      <c r="G324" s="460"/>
      <c r="H324" s="460"/>
      <c r="I324" s="460"/>
      <c r="J324" s="461"/>
    </row>
    <row r="325" spans="1:10" ht="30" customHeight="1" x14ac:dyDescent="0.2">
      <c r="A325" s="140"/>
      <c r="B325" s="170" t="s">
        <v>29</v>
      </c>
      <c r="C325" s="151" t="s">
        <v>66</v>
      </c>
      <c r="D325" s="198" t="s">
        <v>7</v>
      </c>
      <c r="E325" s="171" t="s">
        <v>0</v>
      </c>
      <c r="F325" s="171" t="s">
        <v>10</v>
      </c>
      <c r="G325" s="462" t="s">
        <v>11</v>
      </c>
      <c r="H325" s="462"/>
      <c r="I325" s="462" t="s">
        <v>12</v>
      </c>
      <c r="J325" s="463"/>
    </row>
    <row r="326" spans="1:10" ht="38.25" x14ac:dyDescent="0.2">
      <c r="A326" s="140"/>
      <c r="B326" s="172" t="s">
        <v>2339</v>
      </c>
      <c r="C326" s="154" t="s">
        <v>1222</v>
      </c>
      <c r="D326" s="191" t="s">
        <v>1270</v>
      </c>
      <c r="E326" s="155" t="s">
        <v>57</v>
      </c>
      <c r="F326" s="156">
        <v>1</v>
      </c>
      <c r="G326" s="428">
        <v>1201.8954905036453</v>
      </c>
      <c r="H326" s="429" t="e">
        <v>#N/A</v>
      </c>
      <c r="I326" s="430">
        <v>1201.9000000000001</v>
      </c>
      <c r="J326" s="431"/>
    </row>
    <row r="327" spans="1:10" x14ac:dyDescent="0.2">
      <c r="A327" s="140"/>
      <c r="B327" s="157" t="s">
        <v>31</v>
      </c>
      <c r="C327" s="158">
        <v>34357</v>
      </c>
      <c r="D327" s="196" t="s">
        <v>1302</v>
      </c>
      <c r="E327" s="159" t="s">
        <v>102</v>
      </c>
      <c r="F327" s="160">
        <v>0.60299999999999998</v>
      </c>
      <c r="G327" s="432">
        <v>4.1100000000000003</v>
      </c>
      <c r="H327" s="433" t="e">
        <v>#N/A</v>
      </c>
      <c r="I327" s="434">
        <v>2.48</v>
      </c>
      <c r="J327" s="435"/>
    </row>
    <row r="328" spans="1:10" x14ac:dyDescent="0.2">
      <c r="A328" s="140"/>
      <c r="B328" s="157" t="s">
        <v>31</v>
      </c>
      <c r="C328" s="158">
        <v>37595</v>
      </c>
      <c r="D328" s="196" t="s">
        <v>1305</v>
      </c>
      <c r="E328" s="159" t="s">
        <v>1</v>
      </c>
      <c r="F328" s="160">
        <v>8.6199999999999992</v>
      </c>
      <c r="G328" s="432">
        <v>2.15</v>
      </c>
      <c r="H328" s="433" t="e">
        <v>#N/A</v>
      </c>
      <c r="I328" s="434">
        <v>18.53</v>
      </c>
      <c r="J328" s="435"/>
    </row>
    <row r="329" spans="1:10" ht="17.45" customHeight="1" x14ac:dyDescent="0.2">
      <c r="A329" s="140"/>
      <c r="B329" s="175"/>
      <c r="C329" s="248"/>
      <c r="D329" s="199"/>
      <c r="E329" s="163"/>
      <c r="F329" s="163"/>
      <c r="G329" s="456"/>
      <c r="H329" s="457"/>
      <c r="I329" s="458"/>
      <c r="J329" s="459"/>
    </row>
    <row r="330" spans="1:10" ht="17.45" customHeight="1" x14ac:dyDescent="0.2">
      <c r="A330" s="136"/>
      <c r="B330" s="439" t="s">
        <v>13</v>
      </c>
      <c r="C330" s="440"/>
      <c r="D330" s="441"/>
      <c r="E330" s="441"/>
      <c r="F330" s="441"/>
      <c r="G330" s="441"/>
      <c r="H330" s="441"/>
      <c r="I330" s="446">
        <v>1222.9100000000001</v>
      </c>
      <c r="J330" s="447"/>
    </row>
    <row r="331" spans="1:10" ht="17.45" customHeight="1" x14ac:dyDescent="0.2">
      <c r="A331" s="148"/>
      <c r="B331" s="251"/>
      <c r="C331" s="252"/>
      <c r="D331" s="460" t="s">
        <v>14</v>
      </c>
      <c r="E331" s="460"/>
      <c r="F331" s="460"/>
      <c r="G331" s="460"/>
      <c r="H331" s="460"/>
      <c r="I331" s="460"/>
      <c r="J331" s="461"/>
    </row>
    <row r="332" spans="1:10" ht="30" customHeight="1" x14ac:dyDescent="0.2">
      <c r="A332" s="140"/>
      <c r="B332" s="170" t="s">
        <v>29</v>
      </c>
      <c r="C332" s="176"/>
      <c r="D332" s="198" t="s">
        <v>7</v>
      </c>
      <c r="E332" s="171" t="s">
        <v>0</v>
      </c>
      <c r="F332" s="171" t="s">
        <v>10</v>
      </c>
      <c r="G332" s="462" t="s">
        <v>11</v>
      </c>
      <c r="H332" s="462"/>
      <c r="I332" s="462" t="s">
        <v>12</v>
      </c>
      <c r="J332" s="463"/>
    </row>
    <row r="333" spans="1:10" x14ac:dyDescent="0.2">
      <c r="A333" s="140"/>
      <c r="B333" s="153"/>
      <c r="C333" s="154"/>
      <c r="D333" s="191"/>
      <c r="E333" s="155"/>
      <c r="F333" s="156"/>
      <c r="G333" s="428"/>
      <c r="H333" s="429"/>
      <c r="I333" s="430"/>
      <c r="J333" s="431"/>
    </row>
    <row r="334" spans="1:10" x14ac:dyDescent="0.2">
      <c r="A334" s="140"/>
      <c r="B334" s="157"/>
      <c r="C334" s="158"/>
      <c r="D334" s="196"/>
      <c r="E334" s="159"/>
      <c r="F334" s="160"/>
      <c r="G334" s="432"/>
      <c r="H334" s="433"/>
      <c r="I334" s="434"/>
      <c r="J334" s="435"/>
    </row>
    <row r="335" spans="1:10" ht="17.45" customHeight="1" x14ac:dyDescent="0.2">
      <c r="A335" s="140"/>
      <c r="B335" s="175"/>
      <c r="C335" s="162"/>
      <c r="D335" s="199"/>
      <c r="E335" s="163"/>
      <c r="F335" s="177"/>
      <c r="G335" s="436"/>
      <c r="H335" s="437"/>
      <c r="I335" s="436"/>
      <c r="J335" s="438"/>
    </row>
    <row r="336" spans="1:10" ht="17.45" customHeight="1" x14ac:dyDescent="0.2">
      <c r="A336" s="136"/>
      <c r="B336" s="439" t="s">
        <v>15</v>
      </c>
      <c r="C336" s="440"/>
      <c r="D336" s="441"/>
      <c r="E336" s="441"/>
      <c r="F336" s="441"/>
      <c r="G336" s="441"/>
      <c r="H336" s="441"/>
      <c r="I336" s="442">
        <v>0</v>
      </c>
      <c r="J336" s="443"/>
    </row>
    <row r="337" spans="1:13" ht="17.45" customHeight="1" x14ac:dyDescent="0.2">
      <c r="A337" s="136"/>
      <c r="B337" s="439" t="s">
        <v>16</v>
      </c>
      <c r="C337" s="440"/>
      <c r="D337" s="441"/>
      <c r="E337" s="441"/>
      <c r="F337" s="441"/>
      <c r="G337" s="441"/>
      <c r="H337" s="441"/>
      <c r="I337" s="444">
        <v>1226.8100000000002</v>
      </c>
      <c r="J337" s="445"/>
    </row>
    <row r="338" spans="1:13" ht="17.45" customHeight="1" x14ac:dyDescent="0.2">
      <c r="A338" s="140"/>
      <c r="B338" s="178"/>
      <c r="C338" s="179"/>
      <c r="D338" s="193" t="s">
        <v>17</v>
      </c>
      <c r="E338" s="180"/>
      <c r="F338" s="164">
        <v>0</v>
      </c>
      <c r="G338" s="253"/>
      <c r="H338" s="253"/>
      <c r="I338" s="446">
        <v>0</v>
      </c>
      <c r="J338" s="447"/>
    </row>
    <row r="339" spans="1:13" ht="17.45" customHeight="1" x14ac:dyDescent="0.2">
      <c r="A339" s="136"/>
      <c r="B339" s="439" t="s">
        <v>18</v>
      </c>
      <c r="C339" s="440"/>
      <c r="D339" s="441"/>
      <c r="E339" s="441"/>
      <c r="F339" s="441"/>
      <c r="G339" s="441"/>
      <c r="H339" s="441"/>
      <c r="I339" s="448">
        <v>1226.8100000000002</v>
      </c>
      <c r="J339" s="449"/>
    </row>
    <row r="340" spans="1:13" ht="17.45" customHeight="1" x14ac:dyDescent="0.2">
      <c r="A340" s="141"/>
      <c r="B340" s="450" t="s">
        <v>1214</v>
      </c>
      <c r="C340" s="451"/>
      <c r="D340" s="451"/>
      <c r="E340" s="451"/>
      <c r="F340" s="451"/>
      <c r="G340" s="451"/>
      <c r="H340" s="451"/>
      <c r="I340" s="451"/>
      <c r="J340" s="452"/>
    </row>
    <row r="341" spans="1:13" ht="17.45" customHeight="1" thickBot="1" x14ac:dyDescent="0.25">
      <c r="A341" s="140"/>
      <c r="B341" s="453"/>
      <c r="C341" s="454"/>
      <c r="D341" s="454"/>
      <c r="E341" s="454"/>
      <c r="F341" s="454"/>
      <c r="G341" s="454"/>
      <c r="H341" s="454"/>
      <c r="I341" s="454"/>
      <c r="J341" s="455"/>
    </row>
    <row r="342" spans="1:13" ht="13.5" thickBot="1" x14ac:dyDescent="0.25"/>
    <row r="343" spans="1:13" ht="17.45" customHeight="1" x14ac:dyDescent="0.2">
      <c r="A343" s="136"/>
      <c r="B343" s="476" t="s">
        <v>25</v>
      </c>
      <c r="C343" s="477"/>
      <c r="D343" s="477"/>
      <c r="E343" s="477"/>
      <c r="F343" s="477"/>
      <c r="G343" s="477"/>
      <c r="H343" s="477"/>
      <c r="I343" s="477"/>
      <c r="J343" s="478"/>
      <c r="K343" s="190"/>
      <c r="L343" s="137"/>
    </row>
    <row r="344" spans="1:13" ht="17.45" customHeight="1" x14ac:dyDescent="0.2">
      <c r="A344" s="141"/>
      <c r="B344" s="144" t="s">
        <v>43</v>
      </c>
      <c r="C344" s="254" t="s">
        <v>108</v>
      </c>
      <c r="D344" s="193"/>
      <c r="E344" s="253"/>
      <c r="F344" s="143" t="s">
        <v>113</v>
      </c>
      <c r="G344" s="479"/>
      <c r="H344" s="479"/>
      <c r="I344" s="145"/>
      <c r="J344" s="249">
        <v>44682</v>
      </c>
      <c r="K344" s="190"/>
      <c r="L344" s="137"/>
    </row>
    <row r="345" spans="1:13" ht="17.45" customHeight="1" x14ac:dyDescent="0.2">
      <c r="A345" s="141"/>
      <c r="B345" s="144" t="s">
        <v>4</v>
      </c>
      <c r="C345" s="480" t="s">
        <v>1269</v>
      </c>
      <c r="D345" s="480" t="e">
        <v>#N/A</v>
      </c>
      <c r="E345" s="480" t="e">
        <v>#N/A</v>
      </c>
      <c r="F345" s="480" t="e">
        <v>#N/A</v>
      </c>
      <c r="G345" s="480" t="e">
        <v>#N/A</v>
      </c>
      <c r="H345" s="480" t="e">
        <v>#N/A</v>
      </c>
      <c r="I345" s="480" t="e">
        <v>#N/A</v>
      </c>
      <c r="J345" s="481" t="e">
        <v>#N/A</v>
      </c>
      <c r="K345" s="185" t="s">
        <v>114</v>
      </c>
      <c r="L345" s="186" t="s">
        <v>89</v>
      </c>
      <c r="M345" s="187" t="s">
        <v>115</v>
      </c>
    </row>
    <row r="346" spans="1:13" ht="17.45" customHeight="1" x14ac:dyDescent="0.2">
      <c r="A346" s="140" t="s">
        <v>1207</v>
      </c>
      <c r="B346" s="146" t="s">
        <v>46</v>
      </c>
      <c r="C346" s="252" t="s">
        <v>1207</v>
      </c>
      <c r="D346" s="194" t="s">
        <v>45</v>
      </c>
      <c r="E346" s="482" t="s">
        <v>1303</v>
      </c>
      <c r="F346" s="482"/>
      <c r="G346" s="482"/>
      <c r="H346" s="483"/>
      <c r="I346" s="181" t="s">
        <v>116</v>
      </c>
      <c r="J346" s="183" t="s">
        <v>2</v>
      </c>
      <c r="K346" s="184">
        <v>0</v>
      </c>
      <c r="L346" s="188">
        <v>267.11</v>
      </c>
      <c r="M346" s="189">
        <v>0</v>
      </c>
    </row>
    <row r="347" spans="1:13" ht="17.45" customHeight="1" x14ac:dyDescent="0.2">
      <c r="A347" s="148"/>
      <c r="B347" s="251"/>
      <c r="C347" s="179" t="s">
        <v>1247</v>
      </c>
      <c r="D347" s="484" t="s">
        <v>6</v>
      </c>
      <c r="E347" s="485"/>
      <c r="F347" s="485"/>
      <c r="G347" s="486"/>
      <c r="H347" s="485"/>
      <c r="I347" s="485"/>
      <c r="J347" s="487"/>
      <c r="K347" s="182"/>
    </row>
    <row r="348" spans="1:13" ht="15" customHeight="1" x14ac:dyDescent="0.2">
      <c r="A348" s="140"/>
      <c r="B348" s="150" t="s">
        <v>29</v>
      </c>
      <c r="C348" s="151" t="s">
        <v>66</v>
      </c>
      <c r="D348" s="195" t="s">
        <v>7</v>
      </c>
      <c r="E348" s="152" t="s">
        <v>30</v>
      </c>
      <c r="F348" s="152" t="s">
        <v>112</v>
      </c>
      <c r="G348" s="488" t="s">
        <v>110</v>
      </c>
      <c r="H348" s="489"/>
      <c r="I348" s="488" t="s">
        <v>111</v>
      </c>
      <c r="J348" s="490"/>
      <c r="K348" s="182"/>
    </row>
    <row r="349" spans="1:13" ht="25.5" x14ac:dyDescent="0.2">
      <c r="A349" s="140"/>
      <c r="B349" s="172" t="s">
        <v>100</v>
      </c>
      <c r="C349" s="154">
        <v>88274</v>
      </c>
      <c r="D349" s="191" t="s">
        <v>1304</v>
      </c>
      <c r="E349" s="155" t="s">
        <v>48</v>
      </c>
      <c r="F349" s="156"/>
      <c r="G349" s="428">
        <v>34.07</v>
      </c>
      <c r="H349" s="429" t="e">
        <v>#N/A</v>
      </c>
      <c r="I349" s="430">
        <v>0</v>
      </c>
      <c r="J349" s="431"/>
    </row>
    <row r="350" spans="1:13" x14ac:dyDescent="0.2">
      <c r="A350" s="140"/>
      <c r="B350" s="157" t="s">
        <v>100</v>
      </c>
      <c r="C350" s="158">
        <v>88316</v>
      </c>
      <c r="D350" s="196" t="s">
        <v>56</v>
      </c>
      <c r="E350" s="159" t="s">
        <v>48</v>
      </c>
      <c r="F350" s="160"/>
      <c r="G350" s="432">
        <v>32.119999999999997</v>
      </c>
      <c r="H350" s="433" t="e">
        <v>#N/A</v>
      </c>
      <c r="I350" s="434">
        <v>0</v>
      </c>
      <c r="J350" s="435"/>
    </row>
    <row r="351" spans="1:13" ht="17.45" customHeight="1" x14ac:dyDescent="0.2">
      <c r="A351" s="140"/>
      <c r="B351" s="161"/>
      <c r="C351" s="162"/>
      <c r="D351" s="197"/>
      <c r="E351" s="163"/>
      <c r="F351" s="163"/>
      <c r="G351" s="456"/>
      <c r="H351" s="457"/>
      <c r="I351" s="464"/>
      <c r="J351" s="465"/>
    </row>
    <row r="352" spans="1:13" ht="17.45" customHeight="1" x14ac:dyDescent="0.2">
      <c r="A352" s="136"/>
      <c r="B352" s="466" t="s">
        <v>44</v>
      </c>
      <c r="C352" s="467"/>
      <c r="D352" s="468"/>
      <c r="E352" s="468"/>
      <c r="F352" s="468"/>
      <c r="G352" s="468"/>
      <c r="H352" s="468"/>
      <c r="I352" s="469">
        <v>0</v>
      </c>
      <c r="J352" s="470"/>
    </row>
    <row r="353" spans="1:10" ht="17.45" customHeight="1" x14ac:dyDescent="0.2">
      <c r="A353" s="136"/>
      <c r="B353" s="466" t="s">
        <v>117</v>
      </c>
      <c r="C353" s="467"/>
      <c r="D353" s="468"/>
      <c r="E353" s="468"/>
      <c r="F353" s="164"/>
      <c r="G353" s="257"/>
      <c r="H353" s="255"/>
      <c r="I353" s="471">
        <v>0</v>
      </c>
      <c r="J353" s="472"/>
    </row>
    <row r="354" spans="1:10" ht="17.45" customHeight="1" x14ac:dyDescent="0.2">
      <c r="A354" s="136"/>
      <c r="B354" s="439" t="s">
        <v>8</v>
      </c>
      <c r="C354" s="440"/>
      <c r="D354" s="441"/>
      <c r="E354" s="441"/>
      <c r="F354" s="441"/>
      <c r="G354" s="441"/>
      <c r="H354" s="441"/>
      <c r="I354" s="473">
        <v>0</v>
      </c>
      <c r="J354" s="474"/>
    </row>
    <row r="355" spans="1:10" ht="17.45" customHeight="1" x14ac:dyDescent="0.2">
      <c r="A355" s="148"/>
      <c r="B355" s="256"/>
      <c r="C355" s="142"/>
      <c r="D355" s="475" t="s">
        <v>9</v>
      </c>
      <c r="E355" s="475"/>
      <c r="F355" s="460"/>
      <c r="G355" s="460"/>
      <c r="H355" s="460"/>
      <c r="I355" s="460"/>
      <c r="J355" s="461"/>
    </row>
    <row r="356" spans="1:10" ht="30" customHeight="1" x14ac:dyDescent="0.2">
      <c r="A356" s="140"/>
      <c r="B356" s="170" t="s">
        <v>29</v>
      </c>
      <c r="C356" s="151" t="s">
        <v>66</v>
      </c>
      <c r="D356" s="198" t="s">
        <v>7</v>
      </c>
      <c r="E356" s="171" t="s">
        <v>0</v>
      </c>
      <c r="F356" s="171" t="s">
        <v>10</v>
      </c>
      <c r="G356" s="462" t="s">
        <v>11</v>
      </c>
      <c r="H356" s="462"/>
      <c r="I356" s="462" t="s">
        <v>12</v>
      </c>
      <c r="J356" s="463"/>
    </row>
    <row r="357" spans="1:10" ht="25.5" x14ac:dyDescent="0.2">
      <c r="A357" s="140"/>
      <c r="B357" s="172" t="s">
        <v>2339</v>
      </c>
      <c r="C357" s="154" t="s">
        <v>1223</v>
      </c>
      <c r="D357" s="191" t="s">
        <v>1269</v>
      </c>
      <c r="E357" s="155" t="s">
        <v>2</v>
      </c>
      <c r="F357" s="156">
        <v>1</v>
      </c>
      <c r="G357" s="428">
        <v>263.40853252231568</v>
      </c>
      <c r="H357" s="429" t="e">
        <v>#N/A</v>
      </c>
      <c r="I357" s="430">
        <v>263.41000000000003</v>
      </c>
      <c r="J357" s="431"/>
    </row>
    <row r="358" spans="1:10" x14ac:dyDescent="0.2">
      <c r="A358" s="140"/>
      <c r="B358" s="157" t="s">
        <v>31</v>
      </c>
      <c r="C358" s="158">
        <v>37595</v>
      </c>
      <c r="D358" s="196" t="s">
        <v>1305</v>
      </c>
      <c r="E358" s="159" t="s">
        <v>1</v>
      </c>
      <c r="F358" s="160">
        <v>1.7200000000000002</v>
      </c>
      <c r="G358" s="432">
        <v>2.15</v>
      </c>
      <c r="H358" s="433" t="e">
        <v>#N/A</v>
      </c>
      <c r="I358" s="434">
        <v>3.7</v>
      </c>
      <c r="J358" s="435"/>
    </row>
    <row r="359" spans="1:10" ht="17.45" customHeight="1" x14ac:dyDescent="0.2">
      <c r="A359" s="140"/>
      <c r="B359" s="175"/>
      <c r="C359" s="248"/>
      <c r="D359" s="199"/>
      <c r="E359" s="163"/>
      <c r="F359" s="163"/>
      <c r="G359" s="456"/>
      <c r="H359" s="457"/>
      <c r="I359" s="458"/>
      <c r="J359" s="459"/>
    </row>
    <row r="360" spans="1:10" ht="17.45" customHeight="1" x14ac:dyDescent="0.2">
      <c r="A360" s="136"/>
      <c r="B360" s="439" t="s">
        <v>13</v>
      </c>
      <c r="C360" s="440"/>
      <c r="D360" s="441"/>
      <c r="E360" s="441"/>
      <c r="F360" s="441"/>
      <c r="G360" s="441"/>
      <c r="H360" s="441"/>
      <c r="I360" s="446">
        <v>267.11</v>
      </c>
      <c r="J360" s="447"/>
    </row>
    <row r="361" spans="1:10" ht="17.45" customHeight="1" x14ac:dyDescent="0.2">
      <c r="A361" s="148"/>
      <c r="B361" s="251"/>
      <c r="C361" s="252"/>
      <c r="D361" s="460" t="s">
        <v>14</v>
      </c>
      <c r="E361" s="460"/>
      <c r="F361" s="460"/>
      <c r="G361" s="460"/>
      <c r="H361" s="460"/>
      <c r="I361" s="460"/>
      <c r="J361" s="461"/>
    </row>
    <row r="362" spans="1:10" ht="30" customHeight="1" x14ac:dyDescent="0.2">
      <c r="A362" s="140"/>
      <c r="B362" s="170" t="s">
        <v>29</v>
      </c>
      <c r="C362" s="176"/>
      <c r="D362" s="198" t="s">
        <v>7</v>
      </c>
      <c r="E362" s="171" t="s">
        <v>0</v>
      </c>
      <c r="F362" s="171" t="s">
        <v>10</v>
      </c>
      <c r="G362" s="462" t="s">
        <v>11</v>
      </c>
      <c r="H362" s="462"/>
      <c r="I362" s="462" t="s">
        <v>12</v>
      </c>
      <c r="J362" s="463"/>
    </row>
    <row r="363" spans="1:10" x14ac:dyDescent="0.2">
      <c r="A363" s="140"/>
      <c r="B363" s="153"/>
      <c r="C363" s="154"/>
      <c r="D363" s="191"/>
      <c r="E363" s="155"/>
      <c r="F363" s="156"/>
      <c r="G363" s="428"/>
      <c r="H363" s="429"/>
      <c r="I363" s="430"/>
      <c r="J363" s="431"/>
    </row>
    <row r="364" spans="1:10" x14ac:dyDescent="0.2">
      <c r="A364" s="140"/>
      <c r="B364" s="157"/>
      <c r="C364" s="158"/>
      <c r="D364" s="196"/>
      <c r="E364" s="159"/>
      <c r="F364" s="160"/>
      <c r="G364" s="432"/>
      <c r="H364" s="433"/>
      <c r="I364" s="434"/>
      <c r="J364" s="435"/>
    </row>
    <row r="365" spans="1:10" ht="17.45" customHeight="1" x14ac:dyDescent="0.2">
      <c r="A365" s="140"/>
      <c r="B365" s="175"/>
      <c r="C365" s="162"/>
      <c r="D365" s="199"/>
      <c r="E365" s="163"/>
      <c r="F365" s="177"/>
      <c r="G365" s="436"/>
      <c r="H365" s="437"/>
      <c r="I365" s="436"/>
      <c r="J365" s="438"/>
    </row>
    <row r="366" spans="1:10" ht="17.45" customHeight="1" x14ac:dyDescent="0.2">
      <c r="A366" s="136"/>
      <c r="B366" s="439" t="s">
        <v>15</v>
      </c>
      <c r="C366" s="440"/>
      <c r="D366" s="441"/>
      <c r="E366" s="441"/>
      <c r="F366" s="441"/>
      <c r="G366" s="441"/>
      <c r="H366" s="441"/>
      <c r="I366" s="442">
        <v>0</v>
      </c>
      <c r="J366" s="443"/>
    </row>
    <row r="367" spans="1:10" ht="17.45" customHeight="1" x14ac:dyDescent="0.2">
      <c r="A367" s="136"/>
      <c r="B367" s="439" t="s">
        <v>16</v>
      </c>
      <c r="C367" s="440"/>
      <c r="D367" s="441"/>
      <c r="E367" s="441"/>
      <c r="F367" s="441"/>
      <c r="G367" s="441"/>
      <c r="H367" s="441"/>
      <c r="I367" s="444">
        <v>267.11</v>
      </c>
      <c r="J367" s="445"/>
    </row>
    <row r="368" spans="1:10" ht="17.45" customHeight="1" x14ac:dyDescent="0.2">
      <c r="A368" s="140"/>
      <c r="B368" s="178"/>
      <c r="C368" s="179"/>
      <c r="D368" s="193" t="s">
        <v>17</v>
      </c>
      <c r="E368" s="180"/>
      <c r="F368" s="164">
        <v>0</v>
      </c>
      <c r="G368" s="253"/>
      <c r="H368" s="253"/>
      <c r="I368" s="446">
        <v>0</v>
      </c>
      <c r="J368" s="447"/>
    </row>
    <row r="369" spans="1:13" ht="17.45" customHeight="1" x14ac:dyDescent="0.2">
      <c r="A369" s="136"/>
      <c r="B369" s="439" t="s">
        <v>18</v>
      </c>
      <c r="C369" s="440"/>
      <c r="D369" s="441"/>
      <c r="E369" s="441"/>
      <c r="F369" s="441"/>
      <c r="G369" s="441"/>
      <c r="H369" s="441"/>
      <c r="I369" s="448">
        <v>267.11</v>
      </c>
      <c r="J369" s="449"/>
    </row>
    <row r="370" spans="1:13" ht="17.45" customHeight="1" x14ac:dyDescent="0.2">
      <c r="A370" s="141"/>
      <c r="B370" s="450" t="s">
        <v>1214</v>
      </c>
      <c r="C370" s="451"/>
      <c r="D370" s="451"/>
      <c r="E370" s="451"/>
      <c r="F370" s="451"/>
      <c r="G370" s="451"/>
      <c r="H370" s="451"/>
      <c r="I370" s="451"/>
      <c r="J370" s="452"/>
    </row>
    <row r="371" spans="1:13" ht="17.45" customHeight="1" thickBot="1" x14ac:dyDescent="0.25">
      <c r="A371" s="140"/>
      <c r="B371" s="453"/>
      <c r="C371" s="454"/>
      <c r="D371" s="454"/>
      <c r="E371" s="454"/>
      <c r="F371" s="454"/>
      <c r="G371" s="454"/>
      <c r="H371" s="454"/>
      <c r="I371" s="454"/>
      <c r="J371" s="455"/>
    </row>
    <row r="372" spans="1:13" ht="13.5" thickBot="1" x14ac:dyDescent="0.25"/>
    <row r="373" spans="1:13" ht="17.45" customHeight="1" x14ac:dyDescent="0.2">
      <c r="A373" s="136"/>
      <c r="B373" s="476" t="s">
        <v>25</v>
      </c>
      <c r="C373" s="477"/>
      <c r="D373" s="477"/>
      <c r="E373" s="477"/>
      <c r="F373" s="477"/>
      <c r="G373" s="477"/>
      <c r="H373" s="477"/>
      <c r="I373" s="477"/>
      <c r="J373" s="478"/>
      <c r="K373" s="190"/>
      <c r="L373" s="137"/>
    </row>
    <row r="374" spans="1:13" ht="17.45" customHeight="1" x14ac:dyDescent="0.2">
      <c r="A374" s="141"/>
      <c r="B374" s="144" t="s">
        <v>43</v>
      </c>
      <c r="C374" s="254" t="s">
        <v>108</v>
      </c>
      <c r="D374" s="193"/>
      <c r="E374" s="253"/>
      <c r="F374" s="143" t="s">
        <v>113</v>
      </c>
      <c r="G374" s="479"/>
      <c r="H374" s="479"/>
      <c r="I374" s="145"/>
      <c r="J374" s="249">
        <v>44682</v>
      </c>
      <c r="K374" s="190"/>
      <c r="L374" s="137"/>
    </row>
    <row r="375" spans="1:13" ht="17.45" customHeight="1" x14ac:dyDescent="0.2">
      <c r="A375" s="141"/>
      <c r="B375" s="144" t="s">
        <v>4</v>
      </c>
      <c r="C375" s="480" t="s">
        <v>1268</v>
      </c>
      <c r="D375" s="480" t="e">
        <v>#N/A</v>
      </c>
      <c r="E375" s="480" t="e">
        <v>#N/A</v>
      </c>
      <c r="F375" s="480" t="e">
        <v>#N/A</v>
      </c>
      <c r="G375" s="480" t="e">
        <v>#N/A</v>
      </c>
      <c r="H375" s="480" t="e">
        <v>#N/A</v>
      </c>
      <c r="I375" s="480" t="e">
        <v>#N/A</v>
      </c>
      <c r="J375" s="481" t="e">
        <v>#N/A</v>
      </c>
      <c r="K375" s="185" t="s">
        <v>114</v>
      </c>
      <c r="L375" s="186" t="s">
        <v>89</v>
      </c>
      <c r="M375" s="187" t="s">
        <v>115</v>
      </c>
    </row>
    <row r="376" spans="1:13" ht="17.45" customHeight="1" x14ac:dyDescent="0.2">
      <c r="A376" s="140" t="s">
        <v>1208</v>
      </c>
      <c r="B376" s="146" t="s">
        <v>46</v>
      </c>
      <c r="C376" s="252" t="s">
        <v>1208</v>
      </c>
      <c r="D376" s="194" t="s">
        <v>45</v>
      </c>
      <c r="E376" s="482" t="s">
        <v>1303</v>
      </c>
      <c r="F376" s="482"/>
      <c r="G376" s="482"/>
      <c r="H376" s="483"/>
      <c r="I376" s="181" t="s">
        <v>116</v>
      </c>
      <c r="J376" s="183" t="s">
        <v>2</v>
      </c>
      <c r="K376" s="184">
        <v>0</v>
      </c>
      <c r="L376" s="188">
        <v>281.39999999999998</v>
      </c>
      <c r="M376" s="189">
        <v>0</v>
      </c>
    </row>
    <row r="377" spans="1:13" ht="17.45" customHeight="1" x14ac:dyDescent="0.2">
      <c r="A377" s="148"/>
      <c r="B377" s="251"/>
      <c r="C377" s="179" t="s">
        <v>1247</v>
      </c>
      <c r="D377" s="484" t="s">
        <v>6</v>
      </c>
      <c r="E377" s="485"/>
      <c r="F377" s="485"/>
      <c r="G377" s="486"/>
      <c r="H377" s="485"/>
      <c r="I377" s="485"/>
      <c r="J377" s="487"/>
      <c r="K377" s="182"/>
    </row>
    <row r="378" spans="1:13" ht="15" customHeight="1" x14ac:dyDescent="0.2">
      <c r="A378" s="140"/>
      <c r="B378" s="150" t="s">
        <v>29</v>
      </c>
      <c r="C378" s="151" t="s">
        <v>66</v>
      </c>
      <c r="D378" s="195" t="s">
        <v>7</v>
      </c>
      <c r="E378" s="152" t="s">
        <v>30</v>
      </c>
      <c r="F378" s="152" t="s">
        <v>112</v>
      </c>
      <c r="G378" s="488" t="s">
        <v>110</v>
      </c>
      <c r="H378" s="489"/>
      <c r="I378" s="488" t="s">
        <v>111</v>
      </c>
      <c r="J378" s="490"/>
      <c r="K378" s="182"/>
    </row>
    <row r="379" spans="1:13" ht="25.5" x14ac:dyDescent="0.2">
      <c r="A379" s="140"/>
      <c r="B379" s="172" t="s">
        <v>100</v>
      </c>
      <c r="C379" s="154">
        <v>88274</v>
      </c>
      <c r="D379" s="191" t="s">
        <v>1304</v>
      </c>
      <c r="E379" s="155" t="s">
        <v>48</v>
      </c>
      <c r="F379" s="156"/>
      <c r="G379" s="428">
        <v>34.07</v>
      </c>
      <c r="H379" s="429" t="e">
        <v>#N/A</v>
      </c>
      <c r="I379" s="430">
        <v>0</v>
      </c>
      <c r="J379" s="431"/>
    </row>
    <row r="380" spans="1:13" x14ac:dyDescent="0.2">
      <c r="A380" s="140"/>
      <c r="B380" s="157" t="s">
        <v>100</v>
      </c>
      <c r="C380" s="158">
        <v>88316</v>
      </c>
      <c r="D380" s="196" t="s">
        <v>56</v>
      </c>
      <c r="E380" s="159" t="s">
        <v>48</v>
      </c>
      <c r="F380" s="160"/>
      <c r="G380" s="432">
        <v>32.119999999999997</v>
      </c>
      <c r="H380" s="433" t="e">
        <v>#N/A</v>
      </c>
      <c r="I380" s="434">
        <v>0</v>
      </c>
      <c r="J380" s="435"/>
    </row>
    <row r="381" spans="1:13" ht="17.45" customHeight="1" x14ac:dyDescent="0.2">
      <c r="A381" s="140"/>
      <c r="B381" s="161"/>
      <c r="C381" s="162"/>
      <c r="D381" s="197"/>
      <c r="E381" s="163"/>
      <c r="F381" s="163"/>
      <c r="G381" s="456"/>
      <c r="H381" s="457"/>
      <c r="I381" s="464"/>
      <c r="J381" s="465"/>
    </row>
    <row r="382" spans="1:13" ht="17.45" customHeight="1" x14ac:dyDescent="0.2">
      <c r="A382" s="136"/>
      <c r="B382" s="466" t="s">
        <v>44</v>
      </c>
      <c r="C382" s="467"/>
      <c r="D382" s="468"/>
      <c r="E382" s="468"/>
      <c r="F382" s="468"/>
      <c r="G382" s="468"/>
      <c r="H382" s="468"/>
      <c r="I382" s="469">
        <v>0</v>
      </c>
      <c r="J382" s="470"/>
    </row>
    <row r="383" spans="1:13" ht="17.45" customHeight="1" x14ac:dyDescent="0.2">
      <c r="A383" s="136"/>
      <c r="B383" s="466" t="s">
        <v>117</v>
      </c>
      <c r="C383" s="467"/>
      <c r="D383" s="468"/>
      <c r="E383" s="468"/>
      <c r="F383" s="164"/>
      <c r="G383" s="257"/>
      <c r="H383" s="255"/>
      <c r="I383" s="471">
        <v>0</v>
      </c>
      <c r="J383" s="472"/>
    </row>
    <row r="384" spans="1:13" ht="17.45" customHeight="1" x14ac:dyDescent="0.2">
      <c r="A384" s="136"/>
      <c r="B384" s="439" t="s">
        <v>8</v>
      </c>
      <c r="C384" s="440"/>
      <c r="D384" s="441"/>
      <c r="E384" s="441"/>
      <c r="F384" s="441"/>
      <c r="G384" s="441"/>
      <c r="H384" s="441"/>
      <c r="I384" s="473">
        <v>0</v>
      </c>
      <c r="J384" s="474"/>
    </row>
    <row r="385" spans="1:10" ht="17.45" customHeight="1" x14ac:dyDescent="0.2">
      <c r="A385" s="148"/>
      <c r="B385" s="256"/>
      <c r="C385" s="142"/>
      <c r="D385" s="475" t="s">
        <v>9</v>
      </c>
      <c r="E385" s="475"/>
      <c r="F385" s="460"/>
      <c r="G385" s="460"/>
      <c r="H385" s="460"/>
      <c r="I385" s="460"/>
      <c r="J385" s="461"/>
    </row>
    <row r="386" spans="1:10" ht="30" customHeight="1" x14ac:dyDescent="0.2">
      <c r="A386" s="140"/>
      <c r="B386" s="170" t="s">
        <v>29</v>
      </c>
      <c r="C386" s="151" t="s">
        <v>66</v>
      </c>
      <c r="D386" s="198" t="s">
        <v>7</v>
      </c>
      <c r="E386" s="171" t="s">
        <v>0</v>
      </c>
      <c r="F386" s="171" t="s">
        <v>10</v>
      </c>
      <c r="G386" s="462" t="s">
        <v>11</v>
      </c>
      <c r="H386" s="462"/>
      <c r="I386" s="462" t="s">
        <v>12</v>
      </c>
      <c r="J386" s="463"/>
    </row>
    <row r="387" spans="1:10" ht="25.5" x14ac:dyDescent="0.2">
      <c r="A387" s="140"/>
      <c r="B387" s="172" t="s">
        <v>2339</v>
      </c>
      <c r="C387" s="154" t="s">
        <v>1224</v>
      </c>
      <c r="D387" s="191" t="s">
        <v>1268</v>
      </c>
      <c r="E387" s="155" t="s">
        <v>2</v>
      </c>
      <c r="F387" s="156">
        <v>1</v>
      </c>
      <c r="G387" s="428">
        <v>277.69559206486309</v>
      </c>
      <c r="H387" s="429" t="e">
        <v>#N/A</v>
      </c>
      <c r="I387" s="430">
        <v>277.7</v>
      </c>
      <c r="J387" s="431"/>
    </row>
    <row r="388" spans="1:10" x14ac:dyDescent="0.2">
      <c r="A388" s="140"/>
      <c r="B388" s="157" t="s">
        <v>31</v>
      </c>
      <c r="C388" s="158">
        <v>37595</v>
      </c>
      <c r="D388" s="196" t="s">
        <v>1305</v>
      </c>
      <c r="E388" s="159" t="s">
        <v>1</v>
      </c>
      <c r="F388" s="160">
        <v>1.7200000000000002</v>
      </c>
      <c r="G388" s="432">
        <v>2.15</v>
      </c>
      <c r="H388" s="433" t="e">
        <v>#N/A</v>
      </c>
      <c r="I388" s="434">
        <v>3.7</v>
      </c>
      <c r="J388" s="435"/>
    </row>
    <row r="389" spans="1:10" ht="17.45" customHeight="1" x14ac:dyDescent="0.2">
      <c r="A389" s="140"/>
      <c r="B389" s="175"/>
      <c r="C389" s="248"/>
      <c r="D389" s="199"/>
      <c r="E389" s="163"/>
      <c r="F389" s="163"/>
      <c r="G389" s="456"/>
      <c r="H389" s="457"/>
      <c r="I389" s="458"/>
      <c r="J389" s="459"/>
    </row>
    <row r="390" spans="1:10" ht="17.45" customHeight="1" x14ac:dyDescent="0.2">
      <c r="A390" s="136"/>
      <c r="B390" s="439" t="s">
        <v>13</v>
      </c>
      <c r="C390" s="440"/>
      <c r="D390" s="441"/>
      <c r="E390" s="441"/>
      <c r="F390" s="441"/>
      <c r="G390" s="441"/>
      <c r="H390" s="441"/>
      <c r="I390" s="446">
        <v>281.39999999999998</v>
      </c>
      <c r="J390" s="447"/>
    </row>
    <row r="391" spans="1:10" ht="17.45" customHeight="1" x14ac:dyDescent="0.2">
      <c r="A391" s="148"/>
      <c r="B391" s="251"/>
      <c r="C391" s="252"/>
      <c r="D391" s="460" t="s">
        <v>14</v>
      </c>
      <c r="E391" s="460"/>
      <c r="F391" s="460"/>
      <c r="G391" s="460"/>
      <c r="H391" s="460"/>
      <c r="I391" s="460"/>
      <c r="J391" s="461"/>
    </row>
    <row r="392" spans="1:10" ht="30" customHeight="1" x14ac:dyDescent="0.2">
      <c r="A392" s="140"/>
      <c r="B392" s="170" t="s">
        <v>29</v>
      </c>
      <c r="C392" s="176"/>
      <c r="D392" s="198" t="s">
        <v>7</v>
      </c>
      <c r="E392" s="171" t="s">
        <v>0</v>
      </c>
      <c r="F392" s="171" t="s">
        <v>10</v>
      </c>
      <c r="G392" s="462" t="s">
        <v>11</v>
      </c>
      <c r="H392" s="462"/>
      <c r="I392" s="462" t="s">
        <v>12</v>
      </c>
      <c r="J392" s="463"/>
    </row>
    <row r="393" spans="1:10" x14ac:dyDescent="0.2">
      <c r="A393" s="140"/>
      <c r="B393" s="153"/>
      <c r="C393" s="154"/>
      <c r="D393" s="191"/>
      <c r="E393" s="155"/>
      <c r="F393" s="156"/>
      <c r="G393" s="428"/>
      <c r="H393" s="429"/>
      <c r="I393" s="430"/>
      <c r="J393" s="431"/>
    </row>
    <row r="394" spans="1:10" x14ac:dyDescent="0.2">
      <c r="A394" s="140"/>
      <c r="B394" s="157"/>
      <c r="C394" s="158"/>
      <c r="D394" s="196"/>
      <c r="E394" s="159"/>
      <c r="F394" s="160"/>
      <c r="G394" s="432"/>
      <c r="H394" s="433"/>
      <c r="I394" s="434"/>
      <c r="J394" s="435"/>
    </row>
    <row r="395" spans="1:10" ht="17.45" customHeight="1" x14ac:dyDescent="0.2">
      <c r="A395" s="140"/>
      <c r="B395" s="175"/>
      <c r="C395" s="162"/>
      <c r="D395" s="199"/>
      <c r="E395" s="163"/>
      <c r="F395" s="177"/>
      <c r="G395" s="436"/>
      <c r="H395" s="437"/>
      <c r="I395" s="436"/>
      <c r="J395" s="438"/>
    </row>
    <row r="396" spans="1:10" ht="17.45" customHeight="1" x14ac:dyDescent="0.2">
      <c r="A396" s="136"/>
      <c r="B396" s="439" t="s">
        <v>15</v>
      </c>
      <c r="C396" s="440"/>
      <c r="D396" s="441"/>
      <c r="E396" s="441"/>
      <c r="F396" s="441"/>
      <c r="G396" s="441"/>
      <c r="H396" s="441"/>
      <c r="I396" s="442">
        <v>0</v>
      </c>
      <c r="J396" s="443"/>
    </row>
    <row r="397" spans="1:10" ht="17.45" customHeight="1" x14ac:dyDescent="0.2">
      <c r="A397" s="136"/>
      <c r="B397" s="439" t="s">
        <v>16</v>
      </c>
      <c r="C397" s="440"/>
      <c r="D397" s="441"/>
      <c r="E397" s="441"/>
      <c r="F397" s="441"/>
      <c r="G397" s="441"/>
      <c r="H397" s="441"/>
      <c r="I397" s="444">
        <v>281.39999999999998</v>
      </c>
      <c r="J397" s="445"/>
    </row>
    <row r="398" spans="1:10" ht="17.45" customHeight="1" x14ac:dyDescent="0.2">
      <c r="A398" s="140"/>
      <c r="B398" s="178"/>
      <c r="C398" s="179"/>
      <c r="D398" s="193" t="s">
        <v>17</v>
      </c>
      <c r="E398" s="180"/>
      <c r="F398" s="164">
        <v>0</v>
      </c>
      <c r="G398" s="253"/>
      <c r="H398" s="253"/>
      <c r="I398" s="446">
        <v>0</v>
      </c>
      <c r="J398" s="447"/>
    </row>
    <row r="399" spans="1:10" ht="17.45" customHeight="1" x14ac:dyDescent="0.2">
      <c r="A399" s="136"/>
      <c r="B399" s="439" t="s">
        <v>18</v>
      </c>
      <c r="C399" s="440"/>
      <c r="D399" s="441"/>
      <c r="E399" s="441"/>
      <c r="F399" s="441"/>
      <c r="G399" s="441"/>
      <c r="H399" s="441"/>
      <c r="I399" s="448">
        <v>281.39999999999998</v>
      </c>
      <c r="J399" s="449"/>
    </row>
    <row r="400" spans="1:10" ht="17.45" customHeight="1" x14ac:dyDescent="0.2">
      <c r="A400" s="141"/>
      <c r="B400" s="450" t="s">
        <v>1214</v>
      </c>
      <c r="C400" s="451"/>
      <c r="D400" s="451"/>
      <c r="E400" s="451"/>
      <c r="F400" s="451"/>
      <c r="G400" s="451"/>
      <c r="H400" s="451"/>
      <c r="I400" s="451"/>
      <c r="J400" s="452"/>
    </row>
    <row r="401" spans="1:13" ht="17.45" customHeight="1" thickBot="1" x14ac:dyDescent="0.25">
      <c r="A401" s="140"/>
      <c r="B401" s="453"/>
      <c r="C401" s="454"/>
      <c r="D401" s="454"/>
      <c r="E401" s="454"/>
      <c r="F401" s="454"/>
      <c r="G401" s="454"/>
      <c r="H401" s="454"/>
      <c r="I401" s="454"/>
      <c r="J401" s="455"/>
    </row>
    <row r="402" spans="1:13" ht="13.5" thickBot="1" x14ac:dyDescent="0.25"/>
    <row r="403" spans="1:13" ht="17.45" customHeight="1" x14ac:dyDescent="0.2">
      <c r="A403" s="136"/>
      <c r="B403" s="476" t="s">
        <v>25</v>
      </c>
      <c r="C403" s="477"/>
      <c r="D403" s="477"/>
      <c r="E403" s="477"/>
      <c r="F403" s="477"/>
      <c r="G403" s="477"/>
      <c r="H403" s="477"/>
      <c r="I403" s="477"/>
      <c r="J403" s="478"/>
      <c r="K403" s="190"/>
      <c r="L403" s="137"/>
    </row>
    <row r="404" spans="1:13" ht="17.45" customHeight="1" x14ac:dyDescent="0.2">
      <c r="A404" s="141"/>
      <c r="B404" s="144" t="s">
        <v>43</v>
      </c>
      <c r="C404" s="254" t="s">
        <v>108</v>
      </c>
      <c r="D404" s="193"/>
      <c r="E404" s="253"/>
      <c r="F404" s="143" t="s">
        <v>113</v>
      </c>
      <c r="G404" s="479"/>
      <c r="H404" s="479"/>
      <c r="I404" s="145"/>
      <c r="J404" s="249">
        <v>44682</v>
      </c>
      <c r="K404" s="190"/>
      <c r="L404" s="137"/>
    </row>
    <row r="405" spans="1:13" ht="17.45" customHeight="1" x14ac:dyDescent="0.2">
      <c r="A405" s="141"/>
      <c r="B405" s="144" t="s">
        <v>4</v>
      </c>
      <c r="C405" s="480" t="s">
        <v>1267</v>
      </c>
      <c r="D405" s="480" t="e">
        <v>#N/A</v>
      </c>
      <c r="E405" s="480" t="e">
        <v>#N/A</v>
      </c>
      <c r="F405" s="480" t="e">
        <v>#N/A</v>
      </c>
      <c r="G405" s="480" t="e">
        <v>#N/A</v>
      </c>
      <c r="H405" s="480" t="e">
        <v>#N/A</v>
      </c>
      <c r="I405" s="480" t="e">
        <v>#N/A</v>
      </c>
      <c r="J405" s="481" t="e">
        <v>#N/A</v>
      </c>
      <c r="K405" s="185" t="s">
        <v>114</v>
      </c>
      <c r="L405" s="186" t="s">
        <v>89</v>
      </c>
      <c r="M405" s="187" t="s">
        <v>115</v>
      </c>
    </row>
    <row r="406" spans="1:13" ht="17.45" customHeight="1" x14ac:dyDescent="0.2">
      <c r="A406" s="140" t="s">
        <v>1209</v>
      </c>
      <c r="B406" s="146" t="s">
        <v>46</v>
      </c>
      <c r="C406" s="252" t="s">
        <v>1209</v>
      </c>
      <c r="D406" s="194" t="s">
        <v>45</v>
      </c>
      <c r="E406" s="482" t="s">
        <v>1306</v>
      </c>
      <c r="F406" s="482"/>
      <c r="G406" s="482"/>
      <c r="H406" s="483"/>
      <c r="I406" s="181" t="s">
        <v>116</v>
      </c>
      <c r="J406" s="183" t="s">
        <v>2</v>
      </c>
      <c r="K406" s="184">
        <v>4.82</v>
      </c>
      <c r="L406" s="188">
        <v>155.6</v>
      </c>
      <c r="M406" s="189">
        <v>0</v>
      </c>
    </row>
    <row r="407" spans="1:13" ht="17.45" customHeight="1" x14ac:dyDescent="0.2">
      <c r="A407" s="148"/>
      <c r="B407" s="251"/>
      <c r="C407" s="179" t="s">
        <v>1247</v>
      </c>
      <c r="D407" s="484" t="s">
        <v>6</v>
      </c>
      <c r="E407" s="485"/>
      <c r="F407" s="485"/>
      <c r="G407" s="486"/>
      <c r="H407" s="485"/>
      <c r="I407" s="485"/>
      <c r="J407" s="487"/>
      <c r="K407" s="182"/>
    </row>
    <row r="408" spans="1:13" ht="15" customHeight="1" x14ac:dyDescent="0.2">
      <c r="A408" s="140"/>
      <c r="B408" s="150" t="s">
        <v>29</v>
      </c>
      <c r="C408" s="151" t="s">
        <v>66</v>
      </c>
      <c r="D408" s="195" t="s">
        <v>7</v>
      </c>
      <c r="E408" s="152" t="s">
        <v>30</v>
      </c>
      <c r="F408" s="152" t="s">
        <v>112</v>
      </c>
      <c r="G408" s="488" t="s">
        <v>110</v>
      </c>
      <c r="H408" s="489"/>
      <c r="I408" s="488" t="s">
        <v>111</v>
      </c>
      <c r="J408" s="490"/>
      <c r="K408" s="182"/>
    </row>
    <row r="409" spans="1:13" ht="25.5" x14ac:dyDescent="0.2">
      <c r="A409" s="140"/>
      <c r="B409" s="172" t="s">
        <v>100</v>
      </c>
      <c r="C409" s="154">
        <v>88274</v>
      </c>
      <c r="D409" s="191" t="s">
        <v>1304</v>
      </c>
      <c r="E409" s="155" t="s">
        <v>48</v>
      </c>
      <c r="F409" s="156"/>
      <c r="G409" s="428">
        <v>34.07</v>
      </c>
      <c r="H409" s="429" t="e">
        <v>#N/A</v>
      </c>
      <c r="I409" s="430">
        <v>0</v>
      </c>
      <c r="J409" s="431"/>
    </row>
    <row r="410" spans="1:13" x14ac:dyDescent="0.2">
      <c r="A410" s="140"/>
      <c r="B410" s="157" t="s">
        <v>100</v>
      </c>
      <c r="C410" s="158">
        <v>88316</v>
      </c>
      <c r="D410" s="196" t="s">
        <v>56</v>
      </c>
      <c r="E410" s="159" t="s">
        <v>48</v>
      </c>
      <c r="F410" s="160">
        <v>0.15</v>
      </c>
      <c r="G410" s="432">
        <v>32.119999999999997</v>
      </c>
      <c r="H410" s="433" t="e">
        <v>#N/A</v>
      </c>
      <c r="I410" s="434">
        <v>4.82</v>
      </c>
      <c r="J410" s="435"/>
    </row>
    <row r="411" spans="1:13" ht="17.45" customHeight="1" x14ac:dyDescent="0.2">
      <c r="A411" s="140"/>
      <c r="B411" s="161"/>
      <c r="C411" s="162"/>
      <c r="D411" s="197"/>
      <c r="E411" s="163"/>
      <c r="F411" s="163"/>
      <c r="G411" s="456"/>
      <c r="H411" s="457"/>
      <c r="I411" s="464"/>
      <c r="J411" s="465"/>
    </row>
    <row r="412" spans="1:13" ht="17.45" customHeight="1" x14ac:dyDescent="0.2">
      <c r="A412" s="136"/>
      <c r="B412" s="466" t="s">
        <v>44</v>
      </c>
      <c r="C412" s="467"/>
      <c r="D412" s="468"/>
      <c r="E412" s="468"/>
      <c r="F412" s="468"/>
      <c r="G412" s="468"/>
      <c r="H412" s="468"/>
      <c r="I412" s="469">
        <v>4.82</v>
      </c>
      <c r="J412" s="470"/>
    </row>
    <row r="413" spans="1:13" ht="17.45" customHeight="1" x14ac:dyDescent="0.2">
      <c r="A413" s="136"/>
      <c r="B413" s="466" t="s">
        <v>117</v>
      </c>
      <c r="C413" s="467"/>
      <c r="D413" s="468"/>
      <c r="E413" s="468"/>
      <c r="F413" s="164"/>
      <c r="G413" s="257"/>
      <c r="H413" s="255"/>
      <c r="I413" s="471">
        <v>0</v>
      </c>
      <c r="J413" s="472"/>
    </row>
    <row r="414" spans="1:13" ht="17.45" customHeight="1" x14ac:dyDescent="0.2">
      <c r="A414" s="136"/>
      <c r="B414" s="439" t="s">
        <v>8</v>
      </c>
      <c r="C414" s="440"/>
      <c r="D414" s="441"/>
      <c r="E414" s="441"/>
      <c r="F414" s="441"/>
      <c r="G414" s="441"/>
      <c r="H414" s="441"/>
      <c r="I414" s="473">
        <v>4.82</v>
      </c>
      <c r="J414" s="474"/>
    </row>
    <row r="415" spans="1:13" ht="17.45" customHeight="1" x14ac:dyDescent="0.2">
      <c r="A415" s="148"/>
      <c r="B415" s="256"/>
      <c r="C415" s="142"/>
      <c r="D415" s="475" t="s">
        <v>9</v>
      </c>
      <c r="E415" s="475"/>
      <c r="F415" s="460"/>
      <c r="G415" s="460"/>
      <c r="H415" s="460"/>
      <c r="I415" s="460"/>
      <c r="J415" s="461"/>
    </row>
    <row r="416" spans="1:13" ht="30" customHeight="1" x14ac:dyDescent="0.2">
      <c r="A416" s="140"/>
      <c r="B416" s="170" t="s">
        <v>29</v>
      </c>
      <c r="C416" s="151" t="s">
        <v>66</v>
      </c>
      <c r="D416" s="198" t="s">
        <v>7</v>
      </c>
      <c r="E416" s="171" t="s">
        <v>0</v>
      </c>
      <c r="F416" s="171" t="s">
        <v>10</v>
      </c>
      <c r="G416" s="462" t="s">
        <v>11</v>
      </c>
      <c r="H416" s="462"/>
      <c r="I416" s="462" t="s">
        <v>12</v>
      </c>
      <c r="J416" s="463"/>
    </row>
    <row r="417" spans="1:10" ht="38.25" x14ac:dyDescent="0.2">
      <c r="A417" s="140"/>
      <c r="B417" s="172" t="s">
        <v>2339</v>
      </c>
      <c r="C417" s="154" t="s">
        <v>1225</v>
      </c>
      <c r="D417" s="191" t="s">
        <v>1267</v>
      </c>
      <c r="E417" s="155" t="s">
        <v>2</v>
      </c>
      <c r="F417" s="156">
        <v>1</v>
      </c>
      <c r="G417" s="428">
        <v>153.26317576965334</v>
      </c>
      <c r="H417" s="429" t="e">
        <v>#N/A</v>
      </c>
      <c r="I417" s="430">
        <v>153.26</v>
      </c>
      <c r="J417" s="431"/>
    </row>
    <row r="418" spans="1:10" x14ac:dyDescent="0.2">
      <c r="A418" s="140"/>
      <c r="B418" s="157" t="s">
        <v>31</v>
      </c>
      <c r="C418" s="158">
        <v>34357</v>
      </c>
      <c r="D418" s="196" t="s">
        <v>1302</v>
      </c>
      <c r="E418" s="159" t="s">
        <v>102</v>
      </c>
      <c r="F418" s="160">
        <v>0.12</v>
      </c>
      <c r="G418" s="432">
        <v>4.1100000000000003</v>
      </c>
      <c r="H418" s="433" t="e">
        <v>#N/A</v>
      </c>
      <c r="I418" s="434">
        <v>0.49</v>
      </c>
      <c r="J418" s="435"/>
    </row>
    <row r="419" spans="1:10" x14ac:dyDescent="0.2">
      <c r="A419" s="140"/>
      <c r="B419" s="157" t="s">
        <v>31</v>
      </c>
      <c r="C419" s="158">
        <v>37595</v>
      </c>
      <c r="D419" s="196" t="s">
        <v>1305</v>
      </c>
      <c r="E419" s="159" t="s">
        <v>1</v>
      </c>
      <c r="F419" s="160">
        <v>0.86140000000000005</v>
      </c>
      <c r="G419" s="432">
        <v>2.15</v>
      </c>
      <c r="H419" s="433" t="e">
        <v>#N/A</v>
      </c>
      <c r="I419" s="434">
        <v>1.85</v>
      </c>
      <c r="J419" s="435"/>
    </row>
    <row r="420" spans="1:10" ht="17.45" customHeight="1" x14ac:dyDescent="0.2">
      <c r="A420" s="140"/>
      <c r="B420" s="175"/>
      <c r="C420" s="248"/>
      <c r="D420" s="199"/>
      <c r="E420" s="163"/>
      <c r="F420" s="163"/>
      <c r="G420" s="456"/>
      <c r="H420" s="457"/>
      <c r="I420" s="458"/>
      <c r="J420" s="459"/>
    </row>
    <row r="421" spans="1:10" ht="17.45" customHeight="1" x14ac:dyDescent="0.2">
      <c r="A421" s="136"/>
      <c r="B421" s="439" t="s">
        <v>13</v>
      </c>
      <c r="C421" s="440"/>
      <c r="D421" s="441"/>
      <c r="E421" s="441"/>
      <c r="F421" s="441"/>
      <c r="G421" s="441"/>
      <c r="H421" s="441"/>
      <c r="I421" s="446">
        <v>155.6</v>
      </c>
      <c r="J421" s="447"/>
    </row>
    <row r="422" spans="1:10" ht="17.45" customHeight="1" x14ac:dyDescent="0.2">
      <c r="A422" s="148"/>
      <c r="B422" s="251"/>
      <c r="C422" s="252"/>
      <c r="D422" s="460" t="s">
        <v>14</v>
      </c>
      <c r="E422" s="460"/>
      <c r="F422" s="460"/>
      <c r="G422" s="460"/>
      <c r="H422" s="460"/>
      <c r="I422" s="460"/>
      <c r="J422" s="461"/>
    </row>
    <row r="423" spans="1:10" ht="30" customHeight="1" x14ac:dyDescent="0.2">
      <c r="A423" s="140"/>
      <c r="B423" s="170" t="s">
        <v>29</v>
      </c>
      <c r="C423" s="176"/>
      <c r="D423" s="198" t="s">
        <v>7</v>
      </c>
      <c r="E423" s="171" t="s">
        <v>0</v>
      </c>
      <c r="F423" s="171" t="s">
        <v>10</v>
      </c>
      <c r="G423" s="462" t="s">
        <v>11</v>
      </c>
      <c r="H423" s="462"/>
      <c r="I423" s="462" t="s">
        <v>12</v>
      </c>
      <c r="J423" s="463"/>
    </row>
    <row r="424" spans="1:10" x14ac:dyDescent="0.2">
      <c r="A424" s="140"/>
      <c r="B424" s="153"/>
      <c r="C424" s="154"/>
      <c r="D424" s="191"/>
      <c r="E424" s="155"/>
      <c r="F424" s="156"/>
      <c r="G424" s="428"/>
      <c r="H424" s="429"/>
      <c r="I424" s="430"/>
      <c r="J424" s="431"/>
    </row>
    <row r="425" spans="1:10" x14ac:dyDescent="0.2">
      <c r="A425" s="140"/>
      <c r="B425" s="157"/>
      <c r="C425" s="158"/>
      <c r="D425" s="196"/>
      <c r="E425" s="159"/>
      <c r="F425" s="160"/>
      <c r="G425" s="432"/>
      <c r="H425" s="433"/>
      <c r="I425" s="434"/>
      <c r="J425" s="435"/>
    </row>
    <row r="426" spans="1:10" ht="17.45" customHeight="1" x14ac:dyDescent="0.2">
      <c r="A426" s="140"/>
      <c r="B426" s="175"/>
      <c r="C426" s="162"/>
      <c r="D426" s="199"/>
      <c r="E426" s="163"/>
      <c r="F426" s="177"/>
      <c r="G426" s="436"/>
      <c r="H426" s="437"/>
      <c r="I426" s="436"/>
      <c r="J426" s="438"/>
    </row>
    <row r="427" spans="1:10" ht="17.45" customHeight="1" x14ac:dyDescent="0.2">
      <c r="A427" s="136"/>
      <c r="B427" s="439" t="s">
        <v>15</v>
      </c>
      <c r="C427" s="440"/>
      <c r="D427" s="441"/>
      <c r="E427" s="441"/>
      <c r="F427" s="441"/>
      <c r="G427" s="441"/>
      <c r="H427" s="441"/>
      <c r="I427" s="442">
        <v>0</v>
      </c>
      <c r="J427" s="443"/>
    </row>
    <row r="428" spans="1:10" ht="17.45" customHeight="1" x14ac:dyDescent="0.2">
      <c r="A428" s="136"/>
      <c r="B428" s="439" t="s">
        <v>16</v>
      </c>
      <c r="C428" s="440"/>
      <c r="D428" s="441"/>
      <c r="E428" s="441"/>
      <c r="F428" s="441"/>
      <c r="G428" s="441"/>
      <c r="H428" s="441"/>
      <c r="I428" s="444">
        <v>160.41999999999999</v>
      </c>
      <c r="J428" s="445"/>
    </row>
    <row r="429" spans="1:10" ht="17.45" customHeight="1" x14ac:dyDescent="0.2">
      <c r="A429" s="140"/>
      <c r="B429" s="178"/>
      <c r="C429" s="179"/>
      <c r="D429" s="193" t="s">
        <v>17</v>
      </c>
      <c r="E429" s="180"/>
      <c r="F429" s="164">
        <v>0</v>
      </c>
      <c r="G429" s="253"/>
      <c r="H429" s="253"/>
      <c r="I429" s="446">
        <v>0</v>
      </c>
      <c r="J429" s="447"/>
    </row>
    <row r="430" spans="1:10" ht="17.45" customHeight="1" x14ac:dyDescent="0.2">
      <c r="A430" s="136"/>
      <c r="B430" s="439" t="s">
        <v>18</v>
      </c>
      <c r="C430" s="440"/>
      <c r="D430" s="441"/>
      <c r="E430" s="441"/>
      <c r="F430" s="441"/>
      <c r="G430" s="441"/>
      <c r="H430" s="441"/>
      <c r="I430" s="448">
        <v>160.41999999999999</v>
      </c>
      <c r="J430" s="449"/>
    </row>
    <row r="431" spans="1:10" ht="17.45" customHeight="1" x14ac:dyDescent="0.2">
      <c r="A431" s="141"/>
      <c r="B431" s="450" t="s">
        <v>1214</v>
      </c>
      <c r="C431" s="451"/>
      <c r="D431" s="451"/>
      <c r="E431" s="451"/>
      <c r="F431" s="451"/>
      <c r="G431" s="451"/>
      <c r="H431" s="451"/>
      <c r="I431" s="451"/>
      <c r="J431" s="452"/>
    </row>
    <row r="432" spans="1:10" ht="17.45" customHeight="1" thickBot="1" x14ac:dyDescent="0.25">
      <c r="A432" s="140"/>
      <c r="B432" s="453"/>
      <c r="C432" s="454"/>
      <c r="D432" s="454"/>
      <c r="E432" s="454"/>
      <c r="F432" s="454"/>
      <c r="G432" s="454"/>
      <c r="H432" s="454"/>
      <c r="I432" s="454"/>
      <c r="J432" s="455"/>
    </row>
    <row r="433" spans="1:13" ht="13.5" thickBot="1" x14ac:dyDescent="0.25"/>
    <row r="434" spans="1:13" ht="17.45" customHeight="1" x14ac:dyDescent="0.2">
      <c r="A434" s="136"/>
      <c r="B434" s="476" t="s">
        <v>25</v>
      </c>
      <c r="C434" s="477"/>
      <c r="D434" s="477"/>
      <c r="E434" s="477"/>
      <c r="F434" s="477"/>
      <c r="G434" s="477"/>
      <c r="H434" s="477"/>
      <c r="I434" s="477"/>
      <c r="J434" s="478"/>
      <c r="K434" s="190"/>
      <c r="L434" s="137"/>
    </row>
    <row r="435" spans="1:13" ht="17.45" customHeight="1" x14ac:dyDescent="0.2">
      <c r="A435" s="141"/>
      <c r="B435" s="144" t="s">
        <v>43</v>
      </c>
      <c r="C435" s="254" t="s">
        <v>108</v>
      </c>
      <c r="D435" s="193"/>
      <c r="E435" s="253"/>
      <c r="F435" s="143" t="s">
        <v>113</v>
      </c>
      <c r="G435" s="479"/>
      <c r="H435" s="479"/>
      <c r="I435" s="145"/>
      <c r="J435" s="249">
        <v>44682</v>
      </c>
      <c r="K435" s="190"/>
      <c r="L435" s="137"/>
    </row>
    <row r="436" spans="1:13" ht="17.45" customHeight="1" x14ac:dyDescent="0.2">
      <c r="A436" s="141"/>
      <c r="B436" s="144" t="s">
        <v>4</v>
      </c>
      <c r="C436" s="480" t="s">
        <v>1266</v>
      </c>
      <c r="D436" s="480" t="e">
        <v>#N/A</v>
      </c>
      <c r="E436" s="480" t="e">
        <v>#N/A</v>
      </c>
      <c r="F436" s="480" t="e">
        <v>#N/A</v>
      </c>
      <c r="G436" s="480" t="e">
        <v>#N/A</v>
      </c>
      <c r="H436" s="480" t="e">
        <v>#N/A</v>
      </c>
      <c r="I436" s="480" t="e">
        <v>#N/A</v>
      </c>
      <c r="J436" s="481" t="e">
        <v>#N/A</v>
      </c>
      <c r="K436" s="185" t="s">
        <v>114</v>
      </c>
      <c r="L436" s="186" t="s">
        <v>89</v>
      </c>
      <c r="M436" s="187" t="s">
        <v>115</v>
      </c>
    </row>
    <row r="437" spans="1:13" ht="17.45" customHeight="1" x14ac:dyDescent="0.2">
      <c r="A437" s="140" t="s">
        <v>1210</v>
      </c>
      <c r="B437" s="146" t="s">
        <v>46</v>
      </c>
      <c r="C437" s="252" t="s">
        <v>1210</v>
      </c>
      <c r="D437" s="194" t="s">
        <v>45</v>
      </c>
      <c r="E437" s="482" t="s">
        <v>1306</v>
      </c>
      <c r="F437" s="482"/>
      <c r="G437" s="482"/>
      <c r="H437" s="483"/>
      <c r="I437" s="181" t="s">
        <v>116</v>
      </c>
      <c r="J437" s="183" t="s">
        <v>2</v>
      </c>
      <c r="K437" s="184">
        <v>4.82</v>
      </c>
      <c r="L437" s="188">
        <v>166.25</v>
      </c>
      <c r="M437" s="189">
        <v>0</v>
      </c>
    </row>
    <row r="438" spans="1:13" ht="17.45" customHeight="1" x14ac:dyDescent="0.2">
      <c r="A438" s="148"/>
      <c r="B438" s="251"/>
      <c r="C438" s="179" t="s">
        <v>1247</v>
      </c>
      <c r="D438" s="484" t="s">
        <v>6</v>
      </c>
      <c r="E438" s="485"/>
      <c r="F438" s="485"/>
      <c r="G438" s="486"/>
      <c r="H438" s="485"/>
      <c r="I438" s="485"/>
      <c r="J438" s="487"/>
      <c r="K438" s="182"/>
    </row>
    <row r="439" spans="1:13" ht="15" customHeight="1" x14ac:dyDescent="0.2">
      <c r="A439" s="140"/>
      <c r="B439" s="150" t="s">
        <v>29</v>
      </c>
      <c r="C439" s="151" t="s">
        <v>66</v>
      </c>
      <c r="D439" s="195" t="s">
        <v>7</v>
      </c>
      <c r="E439" s="152" t="s">
        <v>30</v>
      </c>
      <c r="F439" s="152" t="s">
        <v>112</v>
      </c>
      <c r="G439" s="488" t="s">
        <v>110</v>
      </c>
      <c r="H439" s="489"/>
      <c r="I439" s="488" t="s">
        <v>111</v>
      </c>
      <c r="J439" s="490"/>
      <c r="K439" s="182"/>
    </row>
    <row r="440" spans="1:13" ht="25.5" x14ac:dyDescent="0.2">
      <c r="A440" s="140"/>
      <c r="B440" s="172" t="s">
        <v>100</v>
      </c>
      <c r="C440" s="154">
        <v>88274</v>
      </c>
      <c r="D440" s="191" t="s">
        <v>1304</v>
      </c>
      <c r="E440" s="155" t="s">
        <v>48</v>
      </c>
      <c r="F440" s="156"/>
      <c r="G440" s="428">
        <v>34.07</v>
      </c>
      <c r="H440" s="429" t="e">
        <v>#N/A</v>
      </c>
      <c r="I440" s="430">
        <v>0</v>
      </c>
      <c r="J440" s="431"/>
    </row>
    <row r="441" spans="1:13" x14ac:dyDescent="0.2">
      <c r="A441" s="140"/>
      <c r="B441" s="157" t="s">
        <v>100</v>
      </c>
      <c r="C441" s="158">
        <v>88316</v>
      </c>
      <c r="D441" s="196" t="s">
        <v>56</v>
      </c>
      <c r="E441" s="159" t="s">
        <v>48</v>
      </c>
      <c r="F441" s="160">
        <v>0.15</v>
      </c>
      <c r="G441" s="432">
        <v>32.119999999999997</v>
      </c>
      <c r="H441" s="433" t="e">
        <v>#N/A</v>
      </c>
      <c r="I441" s="434">
        <v>4.82</v>
      </c>
      <c r="J441" s="435"/>
    </row>
    <row r="442" spans="1:13" ht="17.45" customHeight="1" x14ac:dyDescent="0.2">
      <c r="A442" s="140"/>
      <c r="B442" s="161"/>
      <c r="C442" s="162"/>
      <c r="D442" s="197"/>
      <c r="E442" s="163"/>
      <c r="F442" s="163"/>
      <c r="G442" s="456"/>
      <c r="H442" s="457"/>
      <c r="I442" s="464"/>
      <c r="J442" s="465"/>
    </row>
    <row r="443" spans="1:13" ht="17.45" customHeight="1" x14ac:dyDescent="0.2">
      <c r="A443" s="136"/>
      <c r="B443" s="466" t="s">
        <v>44</v>
      </c>
      <c r="C443" s="467"/>
      <c r="D443" s="468"/>
      <c r="E443" s="468"/>
      <c r="F443" s="468"/>
      <c r="G443" s="468"/>
      <c r="H443" s="468"/>
      <c r="I443" s="469">
        <v>4.82</v>
      </c>
      <c r="J443" s="470"/>
    </row>
    <row r="444" spans="1:13" ht="17.45" customHeight="1" x14ac:dyDescent="0.2">
      <c r="A444" s="136"/>
      <c r="B444" s="466" t="s">
        <v>117</v>
      </c>
      <c r="C444" s="467"/>
      <c r="D444" s="468"/>
      <c r="E444" s="468"/>
      <c r="F444" s="164"/>
      <c r="G444" s="257"/>
      <c r="H444" s="255"/>
      <c r="I444" s="471">
        <v>0</v>
      </c>
      <c r="J444" s="472"/>
    </row>
    <row r="445" spans="1:13" ht="17.45" customHeight="1" x14ac:dyDescent="0.2">
      <c r="A445" s="136"/>
      <c r="B445" s="439" t="s">
        <v>8</v>
      </c>
      <c r="C445" s="440"/>
      <c r="D445" s="441"/>
      <c r="E445" s="441"/>
      <c r="F445" s="441"/>
      <c r="G445" s="441"/>
      <c r="H445" s="441"/>
      <c r="I445" s="473">
        <v>4.82</v>
      </c>
      <c r="J445" s="474"/>
    </row>
    <row r="446" spans="1:13" ht="17.45" customHeight="1" x14ac:dyDescent="0.2">
      <c r="A446" s="148"/>
      <c r="B446" s="256"/>
      <c r="C446" s="142"/>
      <c r="D446" s="475" t="s">
        <v>9</v>
      </c>
      <c r="E446" s="475"/>
      <c r="F446" s="460"/>
      <c r="G446" s="460"/>
      <c r="H446" s="460"/>
      <c r="I446" s="460"/>
      <c r="J446" s="461"/>
    </row>
    <row r="447" spans="1:13" ht="30" customHeight="1" x14ac:dyDescent="0.2">
      <c r="A447" s="140"/>
      <c r="B447" s="170" t="s">
        <v>29</v>
      </c>
      <c r="C447" s="151" t="s">
        <v>66</v>
      </c>
      <c r="D447" s="198" t="s">
        <v>7</v>
      </c>
      <c r="E447" s="171" t="s">
        <v>0</v>
      </c>
      <c r="F447" s="171" t="s">
        <v>10</v>
      </c>
      <c r="G447" s="462" t="s">
        <v>11</v>
      </c>
      <c r="H447" s="462"/>
      <c r="I447" s="462" t="s">
        <v>12</v>
      </c>
      <c r="J447" s="463"/>
    </row>
    <row r="448" spans="1:13" ht="38.25" x14ac:dyDescent="0.2">
      <c r="A448" s="140"/>
      <c r="B448" s="172" t="s">
        <v>2339</v>
      </c>
      <c r="C448" s="154" t="s">
        <v>1226</v>
      </c>
      <c r="D448" s="191" t="s">
        <v>1266</v>
      </c>
      <c r="E448" s="155" t="s">
        <v>2</v>
      </c>
      <c r="F448" s="156">
        <v>1</v>
      </c>
      <c r="G448" s="428">
        <v>163.90728728599322</v>
      </c>
      <c r="H448" s="429" t="e">
        <v>#N/A</v>
      </c>
      <c r="I448" s="430">
        <v>163.91</v>
      </c>
      <c r="J448" s="431"/>
    </row>
    <row r="449" spans="1:10" x14ac:dyDescent="0.2">
      <c r="A449" s="140"/>
      <c r="B449" s="157" t="s">
        <v>31</v>
      </c>
      <c r="C449" s="158">
        <v>34357</v>
      </c>
      <c r="D449" s="196" t="s">
        <v>1302</v>
      </c>
      <c r="E449" s="159" t="s">
        <v>102</v>
      </c>
      <c r="F449" s="160">
        <v>0.12</v>
      </c>
      <c r="G449" s="432">
        <v>4.1100000000000003</v>
      </c>
      <c r="H449" s="433" t="e">
        <v>#N/A</v>
      </c>
      <c r="I449" s="434">
        <v>0.49</v>
      </c>
      <c r="J449" s="435"/>
    </row>
    <row r="450" spans="1:10" x14ac:dyDescent="0.2">
      <c r="A450" s="140"/>
      <c r="B450" s="157" t="s">
        <v>31</v>
      </c>
      <c r="C450" s="158">
        <v>37595</v>
      </c>
      <c r="D450" s="196" t="s">
        <v>1305</v>
      </c>
      <c r="E450" s="159" t="s">
        <v>1</v>
      </c>
      <c r="F450" s="160">
        <v>0.86140000000000005</v>
      </c>
      <c r="G450" s="432">
        <v>2.15</v>
      </c>
      <c r="H450" s="433" t="e">
        <v>#N/A</v>
      </c>
      <c r="I450" s="434">
        <v>1.85</v>
      </c>
      <c r="J450" s="435"/>
    </row>
    <row r="451" spans="1:10" ht="17.45" customHeight="1" x14ac:dyDescent="0.2">
      <c r="A451" s="140"/>
      <c r="B451" s="175"/>
      <c r="C451" s="248"/>
      <c r="D451" s="199"/>
      <c r="E451" s="163"/>
      <c r="F451" s="163"/>
      <c r="G451" s="456"/>
      <c r="H451" s="457"/>
      <c r="I451" s="458"/>
      <c r="J451" s="459"/>
    </row>
    <row r="452" spans="1:10" ht="17.45" customHeight="1" x14ac:dyDescent="0.2">
      <c r="A452" s="136"/>
      <c r="B452" s="439" t="s">
        <v>13</v>
      </c>
      <c r="C452" s="440"/>
      <c r="D452" s="441"/>
      <c r="E452" s="441"/>
      <c r="F452" s="441"/>
      <c r="G452" s="441"/>
      <c r="H452" s="441"/>
      <c r="I452" s="446">
        <v>166.25</v>
      </c>
      <c r="J452" s="447"/>
    </row>
    <row r="453" spans="1:10" ht="17.45" customHeight="1" x14ac:dyDescent="0.2">
      <c r="A453" s="148"/>
      <c r="B453" s="251"/>
      <c r="C453" s="252"/>
      <c r="D453" s="460" t="s">
        <v>14</v>
      </c>
      <c r="E453" s="460"/>
      <c r="F453" s="460"/>
      <c r="G453" s="460"/>
      <c r="H453" s="460"/>
      <c r="I453" s="460"/>
      <c r="J453" s="461"/>
    </row>
    <row r="454" spans="1:10" ht="30" customHeight="1" x14ac:dyDescent="0.2">
      <c r="A454" s="140"/>
      <c r="B454" s="170" t="s">
        <v>29</v>
      </c>
      <c r="C454" s="176"/>
      <c r="D454" s="198" t="s">
        <v>7</v>
      </c>
      <c r="E454" s="171" t="s">
        <v>0</v>
      </c>
      <c r="F454" s="171" t="s">
        <v>10</v>
      </c>
      <c r="G454" s="462" t="s">
        <v>11</v>
      </c>
      <c r="H454" s="462"/>
      <c r="I454" s="462" t="s">
        <v>12</v>
      </c>
      <c r="J454" s="463"/>
    </row>
    <row r="455" spans="1:10" x14ac:dyDescent="0.2">
      <c r="A455" s="140"/>
      <c r="B455" s="153"/>
      <c r="C455" s="154"/>
      <c r="D455" s="191"/>
      <c r="E455" s="155"/>
      <c r="F455" s="156"/>
      <c r="G455" s="428"/>
      <c r="H455" s="429"/>
      <c r="I455" s="430"/>
      <c r="J455" s="431"/>
    </row>
    <row r="456" spans="1:10" x14ac:dyDescent="0.2">
      <c r="A456" s="140"/>
      <c r="B456" s="157"/>
      <c r="C456" s="158"/>
      <c r="D456" s="196"/>
      <c r="E456" s="159"/>
      <c r="F456" s="160"/>
      <c r="G456" s="432"/>
      <c r="H456" s="433"/>
      <c r="I456" s="434"/>
      <c r="J456" s="435"/>
    </row>
    <row r="457" spans="1:10" ht="17.45" customHeight="1" x14ac:dyDescent="0.2">
      <c r="A457" s="140"/>
      <c r="B457" s="175"/>
      <c r="C457" s="162"/>
      <c r="D457" s="199"/>
      <c r="E457" s="163"/>
      <c r="F457" s="177"/>
      <c r="G457" s="436"/>
      <c r="H457" s="437"/>
      <c r="I457" s="436"/>
      <c r="J457" s="438"/>
    </row>
    <row r="458" spans="1:10" ht="17.45" customHeight="1" x14ac:dyDescent="0.2">
      <c r="A458" s="136"/>
      <c r="B458" s="439" t="s">
        <v>15</v>
      </c>
      <c r="C458" s="440"/>
      <c r="D458" s="441"/>
      <c r="E458" s="441"/>
      <c r="F458" s="441"/>
      <c r="G458" s="441"/>
      <c r="H458" s="441"/>
      <c r="I458" s="442">
        <v>0</v>
      </c>
      <c r="J458" s="443"/>
    </row>
    <row r="459" spans="1:10" ht="17.45" customHeight="1" x14ac:dyDescent="0.2">
      <c r="A459" s="136"/>
      <c r="B459" s="439" t="s">
        <v>16</v>
      </c>
      <c r="C459" s="440"/>
      <c r="D459" s="441"/>
      <c r="E459" s="441"/>
      <c r="F459" s="441"/>
      <c r="G459" s="441"/>
      <c r="H459" s="441"/>
      <c r="I459" s="444">
        <v>171.07</v>
      </c>
      <c r="J459" s="445"/>
    </row>
    <row r="460" spans="1:10" ht="17.45" customHeight="1" x14ac:dyDescent="0.2">
      <c r="A460" s="140"/>
      <c r="B460" s="178"/>
      <c r="C460" s="179"/>
      <c r="D460" s="193" t="s">
        <v>17</v>
      </c>
      <c r="E460" s="180"/>
      <c r="F460" s="164">
        <v>0</v>
      </c>
      <c r="G460" s="253"/>
      <c r="H460" s="253"/>
      <c r="I460" s="446">
        <v>0</v>
      </c>
      <c r="J460" s="447"/>
    </row>
    <row r="461" spans="1:10" ht="17.45" customHeight="1" x14ac:dyDescent="0.2">
      <c r="A461" s="136"/>
      <c r="B461" s="439" t="s">
        <v>18</v>
      </c>
      <c r="C461" s="440"/>
      <c r="D461" s="441"/>
      <c r="E461" s="441"/>
      <c r="F461" s="441"/>
      <c r="G461" s="441"/>
      <c r="H461" s="441"/>
      <c r="I461" s="448">
        <v>171.07</v>
      </c>
      <c r="J461" s="449"/>
    </row>
    <row r="462" spans="1:10" ht="17.45" customHeight="1" x14ac:dyDescent="0.2">
      <c r="A462" s="141"/>
      <c r="B462" s="450" t="s">
        <v>1214</v>
      </c>
      <c r="C462" s="451"/>
      <c r="D462" s="451"/>
      <c r="E462" s="451"/>
      <c r="F462" s="451"/>
      <c r="G462" s="451"/>
      <c r="H462" s="451"/>
      <c r="I462" s="451"/>
      <c r="J462" s="452"/>
    </row>
    <row r="463" spans="1:10" ht="17.45" customHeight="1" thickBot="1" x14ac:dyDescent="0.25">
      <c r="A463" s="140"/>
      <c r="B463" s="453"/>
      <c r="C463" s="454"/>
      <c r="D463" s="454"/>
      <c r="E463" s="454"/>
      <c r="F463" s="454"/>
      <c r="G463" s="454"/>
      <c r="H463" s="454"/>
      <c r="I463" s="454"/>
      <c r="J463" s="455"/>
    </row>
    <row r="464" spans="1:10" ht="13.5" thickBot="1" x14ac:dyDescent="0.25"/>
    <row r="465" spans="1:13" ht="17.45" customHeight="1" x14ac:dyDescent="0.2">
      <c r="A465" s="136"/>
      <c r="B465" s="476" t="s">
        <v>25</v>
      </c>
      <c r="C465" s="477"/>
      <c r="D465" s="477"/>
      <c r="E465" s="477"/>
      <c r="F465" s="477"/>
      <c r="G465" s="477"/>
      <c r="H465" s="477"/>
      <c r="I465" s="477"/>
      <c r="J465" s="478"/>
      <c r="K465" s="190"/>
      <c r="L465" s="137"/>
    </row>
    <row r="466" spans="1:13" ht="17.45" customHeight="1" x14ac:dyDescent="0.2">
      <c r="A466" s="141"/>
      <c r="B466" s="144" t="s">
        <v>43</v>
      </c>
      <c r="C466" s="254" t="s">
        <v>108</v>
      </c>
      <c r="D466" s="193"/>
      <c r="E466" s="253"/>
      <c r="F466" s="143" t="s">
        <v>113</v>
      </c>
      <c r="G466" s="479"/>
      <c r="H466" s="479"/>
      <c r="I466" s="145"/>
      <c r="J466" s="249">
        <v>44682</v>
      </c>
      <c r="K466" s="190"/>
      <c r="L466" s="137"/>
    </row>
    <row r="467" spans="1:13" ht="17.45" customHeight="1" x14ac:dyDescent="0.2">
      <c r="A467" s="141"/>
      <c r="B467" s="144" t="s">
        <v>4</v>
      </c>
      <c r="C467" s="480" t="s">
        <v>1265</v>
      </c>
      <c r="D467" s="480" t="e">
        <v>#N/A</v>
      </c>
      <c r="E467" s="480" t="e">
        <v>#N/A</v>
      </c>
      <c r="F467" s="480" t="e">
        <v>#N/A</v>
      </c>
      <c r="G467" s="480" t="e">
        <v>#N/A</v>
      </c>
      <c r="H467" s="480" t="e">
        <v>#N/A</v>
      </c>
      <c r="I467" s="480" t="e">
        <v>#N/A</v>
      </c>
      <c r="J467" s="481" t="e">
        <v>#N/A</v>
      </c>
      <c r="K467" s="185" t="s">
        <v>114</v>
      </c>
      <c r="L467" s="186" t="s">
        <v>89</v>
      </c>
      <c r="M467" s="187" t="s">
        <v>115</v>
      </c>
    </row>
    <row r="468" spans="1:13" ht="17.45" customHeight="1" x14ac:dyDescent="0.2">
      <c r="A468" s="140" t="s">
        <v>1278</v>
      </c>
      <c r="B468" s="146" t="s">
        <v>46</v>
      </c>
      <c r="C468" s="252" t="s">
        <v>1278</v>
      </c>
      <c r="D468" s="194" t="s">
        <v>45</v>
      </c>
      <c r="E468" s="482" t="s">
        <v>1307</v>
      </c>
      <c r="F468" s="482"/>
      <c r="G468" s="482"/>
      <c r="H468" s="483"/>
      <c r="I468" s="181" t="s">
        <v>116</v>
      </c>
      <c r="J468" s="183" t="s">
        <v>3</v>
      </c>
      <c r="K468" s="184">
        <v>0</v>
      </c>
      <c r="L468" s="188">
        <v>1340.1</v>
      </c>
      <c r="M468" s="189">
        <v>0</v>
      </c>
    </row>
    <row r="469" spans="1:13" ht="17.45" customHeight="1" x14ac:dyDescent="0.2">
      <c r="A469" s="148"/>
      <c r="B469" s="251"/>
      <c r="C469" s="179" t="s">
        <v>1247</v>
      </c>
      <c r="D469" s="484" t="s">
        <v>6</v>
      </c>
      <c r="E469" s="485"/>
      <c r="F469" s="485"/>
      <c r="G469" s="486"/>
      <c r="H469" s="485"/>
      <c r="I469" s="485"/>
      <c r="J469" s="487"/>
      <c r="K469" s="182"/>
    </row>
    <row r="470" spans="1:13" ht="15" customHeight="1" x14ac:dyDescent="0.2">
      <c r="A470" s="140"/>
      <c r="B470" s="150" t="s">
        <v>29</v>
      </c>
      <c r="C470" s="151" t="s">
        <v>66</v>
      </c>
      <c r="D470" s="195" t="s">
        <v>7</v>
      </c>
      <c r="E470" s="152" t="s">
        <v>30</v>
      </c>
      <c r="F470" s="152" t="s">
        <v>112</v>
      </c>
      <c r="G470" s="488" t="s">
        <v>110</v>
      </c>
      <c r="H470" s="489"/>
      <c r="I470" s="488" t="s">
        <v>111</v>
      </c>
      <c r="J470" s="490"/>
      <c r="K470" s="182"/>
    </row>
    <row r="471" spans="1:13" ht="25.5" x14ac:dyDescent="0.2">
      <c r="A471" s="140"/>
      <c r="B471" s="172" t="s">
        <v>100</v>
      </c>
      <c r="C471" s="154">
        <v>88274</v>
      </c>
      <c r="D471" s="191" t="s">
        <v>1304</v>
      </c>
      <c r="E471" s="155" t="s">
        <v>48</v>
      </c>
      <c r="F471" s="156"/>
      <c r="G471" s="428">
        <v>34.07</v>
      </c>
      <c r="H471" s="429" t="e">
        <v>#N/A</v>
      </c>
      <c r="I471" s="430">
        <v>0</v>
      </c>
      <c r="J471" s="431"/>
    </row>
    <row r="472" spans="1:13" x14ac:dyDescent="0.2">
      <c r="A472" s="140"/>
      <c r="B472" s="157" t="s">
        <v>100</v>
      </c>
      <c r="C472" s="158">
        <v>88316</v>
      </c>
      <c r="D472" s="196" t="s">
        <v>56</v>
      </c>
      <c r="E472" s="159" t="s">
        <v>48</v>
      </c>
      <c r="F472" s="160"/>
      <c r="G472" s="432">
        <v>32.119999999999997</v>
      </c>
      <c r="H472" s="433" t="e">
        <v>#N/A</v>
      </c>
      <c r="I472" s="434">
        <v>0</v>
      </c>
      <c r="J472" s="435"/>
    </row>
    <row r="473" spans="1:13" ht="17.45" customHeight="1" x14ac:dyDescent="0.2">
      <c r="A473" s="140"/>
      <c r="B473" s="161"/>
      <c r="C473" s="162"/>
      <c r="D473" s="197"/>
      <c r="E473" s="163"/>
      <c r="F473" s="163"/>
      <c r="G473" s="456"/>
      <c r="H473" s="457"/>
      <c r="I473" s="464"/>
      <c r="J473" s="465"/>
    </row>
    <row r="474" spans="1:13" ht="17.45" customHeight="1" x14ac:dyDescent="0.2">
      <c r="A474" s="136"/>
      <c r="B474" s="466" t="s">
        <v>44</v>
      </c>
      <c r="C474" s="467"/>
      <c r="D474" s="468"/>
      <c r="E474" s="468"/>
      <c r="F474" s="468"/>
      <c r="G474" s="468"/>
      <c r="H474" s="468"/>
      <c r="I474" s="469">
        <v>0</v>
      </c>
      <c r="J474" s="470"/>
    </row>
    <row r="475" spans="1:13" ht="17.45" customHeight="1" x14ac:dyDescent="0.2">
      <c r="A475" s="136"/>
      <c r="B475" s="466" t="s">
        <v>117</v>
      </c>
      <c r="C475" s="467"/>
      <c r="D475" s="468"/>
      <c r="E475" s="468"/>
      <c r="F475" s="164"/>
      <c r="G475" s="257"/>
      <c r="H475" s="255"/>
      <c r="I475" s="471">
        <v>0</v>
      </c>
      <c r="J475" s="472"/>
    </row>
    <row r="476" spans="1:13" ht="17.45" customHeight="1" x14ac:dyDescent="0.2">
      <c r="A476" s="136"/>
      <c r="B476" s="439" t="s">
        <v>8</v>
      </c>
      <c r="C476" s="440"/>
      <c r="D476" s="441"/>
      <c r="E476" s="441"/>
      <c r="F476" s="441"/>
      <c r="G476" s="441"/>
      <c r="H476" s="441"/>
      <c r="I476" s="473">
        <v>0</v>
      </c>
      <c r="J476" s="474"/>
    </row>
    <row r="477" spans="1:13" ht="17.45" customHeight="1" x14ac:dyDescent="0.2">
      <c r="A477" s="148"/>
      <c r="B477" s="256"/>
      <c r="C477" s="142"/>
      <c r="D477" s="475" t="s">
        <v>9</v>
      </c>
      <c r="E477" s="475"/>
      <c r="F477" s="460"/>
      <c r="G477" s="460"/>
      <c r="H477" s="460"/>
      <c r="I477" s="460"/>
      <c r="J477" s="461"/>
    </row>
    <row r="478" spans="1:13" ht="30" customHeight="1" x14ac:dyDescent="0.2">
      <c r="A478" s="140"/>
      <c r="B478" s="170" t="s">
        <v>29</v>
      </c>
      <c r="C478" s="151" t="s">
        <v>66</v>
      </c>
      <c r="D478" s="198" t="s">
        <v>7</v>
      </c>
      <c r="E478" s="171" t="s">
        <v>0</v>
      </c>
      <c r="F478" s="171" t="s">
        <v>10</v>
      </c>
      <c r="G478" s="462" t="s">
        <v>11</v>
      </c>
      <c r="H478" s="462"/>
      <c r="I478" s="462" t="s">
        <v>12</v>
      </c>
      <c r="J478" s="463"/>
    </row>
    <row r="479" spans="1:13" ht="38.25" x14ac:dyDescent="0.2">
      <c r="A479" s="140"/>
      <c r="B479" s="172" t="s">
        <v>2339</v>
      </c>
      <c r="C479" s="154" t="s">
        <v>1227</v>
      </c>
      <c r="D479" s="191" t="s">
        <v>1265</v>
      </c>
      <c r="E479" s="155" t="s">
        <v>3</v>
      </c>
      <c r="F479" s="156">
        <v>1</v>
      </c>
      <c r="G479" s="428">
        <v>1328.5618464429604</v>
      </c>
      <c r="H479" s="429" t="e">
        <v>#N/A</v>
      </c>
      <c r="I479" s="430">
        <v>1328.56</v>
      </c>
      <c r="J479" s="431"/>
    </row>
    <row r="480" spans="1:13" x14ac:dyDescent="0.2">
      <c r="A480" s="140"/>
      <c r="B480" s="157" t="s">
        <v>31</v>
      </c>
      <c r="C480" s="158">
        <v>37595</v>
      </c>
      <c r="D480" s="196" t="s">
        <v>1305</v>
      </c>
      <c r="E480" s="159" t="s">
        <v>1</v>
      </c>
      <c r="F480" s="160">
        <v>5.3664000000000005</v>
      </c>
      <c r="G480" s="432">
        <v>2.15</v>
      </c>
      <c r="H480" s="433" t="e">
        <v>#N/A</v>
      </c>
      <c r="I480" s="434">
        <v>11.54</v>
      </c>
      <c r="J480" s="435"/>
    </row>
    <row r="481" spans="1:12" ht="17.45" customHeight="1" x14ac:dyDescent="0.2">
      <c r="A481" s="140"/>
      <c r="B481" s="175"/>
      <c r="C481" s="248"/>
      <c r="D481" s="199"/>
      <c r="E481" s="163"/>
      <c r="F481" s="163"/>
      <c r="G481" s="456"/>
      <c r="H481" s="457"/>
      <c r="I481" s="458"/>
      <c r="J481" s="459"/>
    </row>
    <row r="482" spans="1:12" ht="17.45" customHeight="1" x14ac:dyDescent="0.2">
      <c r="A482" s="136"/>
      <c r="B482" s="439" t="s">
        <v>13</v>
      </c>
      <c r="C482" s="440"/>
      <c r="D482" s="441"/>
      <c r="E482" s="441"/>
      <c r="F482" s="441"/>
      <c r="G482" s="441"/>
      <c r="H482" s="441"/>
      <c r="I482" s="446">
        <v>1340.1</v>
      </c>
      <c r="J482" s="447"/>
    </row>
    <row r="483" spans="1:12" ht="17.45" customHeight="1" x14ac:dyDescent="0.2">
      <c r="A483" s="148"/>
      <c r="B483" s="251"/>
      <c r="C483" s="252"/>
      <c r="D483" s="460" t="s">
        <v>14</v>
      </c>
      <c r="E483" s="460"/>
      <c r="F483" s="460"/>
      <c r="G483" s="460"/>
      <c r="H483" s="460"/>
      <c r="I483" s="460"/>
      <c r="J483" s="461"/>
    </row>
    <row r="484" spans="1:12" ht="30" customHeight="1" x14ac:dyDescent="0.2">
      <c r="A484" s="140"/>
      <c r="B484" s="170" t="s">
        <v>29</v>
      </c>
      <c r="C484" s="176"/>
      <c r="D484" s="198" t="s">
        <v>7</v>
      </c>
      <c r="E484" s="171" t="s">
        <v>0</v>
      </c>
      <c r="F484" s="171" t="s">
        <v>10</v>
      </c>
      <c r="G484" s="462" t="s">
        <v>11</v>
      </c>
      <c r="H484" s="462"/>
      <c r="I484" s="462" t="s">
        <v>12</v>
      </c>
      <c r="J484" s="463"/>
    </row>
    <row r="485" spans="1:12" x14ac:dyDescent="0.2">
      <c r="A485" s="140"/>
      <c r="B485" s="153"/>
      <c r="C485" s="154"/>
      <c r="D485" s="191"/>
      <c r="E485" s="155"/>
      <c r="F485" s="156"/>
      <c r="G485" s="428"/>
      <c r="H485" s="429"/>
      <c r="I485" s="430"/>
      <c r="J485" s="431"/>
    </row>
    <row r="486" spans="1:12" x14ac:dyDescent="0.2">
      <c r="A486" s="140"/>
      <c r="B486" s="157"/>
      <c r="C486" s="158"/>
      <c r="D486" s="196"/>
      <c r="E486" s="159"/>
      <c r="F486" s="160"/>
      <c r="G486" s="432"/>
      <c r="H486" s="433"/>
      <c r="I486" s="434"/>
      <c r="J486" s="435"/>
    </row>
    <row r="487" spans="1:12" ht="17.45" customHeight="1" x14ac:dyDescent="0.2">
      <c r="A487" s="140"/>
      <c r="B487" s="175"/>
      <c r="C487" s="162"/>
      <c r="D487" s="199"/>
      <c r="E487" s="163"/>
      <c r="F487" s="177"/>
      <c r="G487" s="436"/>
      <c r="H487" s="437"/>
      <c r="I487" s="436"/>
      <c r="J487" s="438"/>
    </row>
    <row r="488" spans="1:12" ht="17.45" customHeight="1" x14ac:dyDescent="0.2">
      <c r="A488" s="136"/>
      <c r="B488" s="439" t="s">
        <v>15</v>
      </c>
      <c r="C488" s="440"/>
      <c r="D488" s="441"/>
      <c r="E488" s="441"/>
      <c r="F488" s="441"/>
      <c r="G488" s="441"/>
      <c r="H488" s="441"/>
      <c r="I488" s="442">
        <v>0</v>
      </c>
      <c r="J488" s="443"/>
    </row>
    <row r="489" spans="1:12" ht="17.45" customHeight="1" x14ac:dyDescent="0.2">
      <c r="A489" s="136"/>
      <c r="B489" s="439" t="s">
        <v>16</v>
      </c>
      <c r="C489" s="440"/>
      <c r="D489" s="441"/>
      <c r="E489" s="441"/>
      <c r="F489" s="441"/>
      <c r="G489" s="441"/>
      <c r="H489" s="441"/>
      <c r="I489" s="444">
        <v>1340.1</v>
      </c>
      <c r="J489" s="445"/>
    </row>
    <row r="490" spans="1:12" ht="17.45" customHeight="1" x14ac:dyDescent="0.2">
      <c r="A490" s="140"/>
      <c r="B490" s="178"/>
      <c r="C490" s="179"/>
      <c r="D490" s="193" t="s">
        <v>17</v>
      </c>
      <c r="E490" s="180"/>
      <c r="F490" s="164">
        <v>0</v>
      </c>
      <c r="G490" s="253"/>
      <c r="H490" s="253"/>
      <c r="I490" s="446">
        <v>0</v>
      </c>
      <c r="J490" s="447"/>
    </row>
    <row r="491" spans="1:12" ht="17.45" customHeight="1" x14ac:dyDescent="0.2">
      <c r="A491" s="136"/>
      <c r="B491" s="439" t="s">
        <v>18</v>
      </c>
      <c r="C491" s="440"/>
      <c r="D491" s="441"/>
      <c r="E491" s="441"/>
      <c r="F491" s="441"/>
      <c r="G491" s="441"/>
      <c r="H491" s="441"/>
      <c r="I491" s="448">
        <v>1340.1</v>
      </c>
      <c r="J491" s="449"/>
    </row>
    <row r="492" spans="1:12" ht="17.45" customHeight="1" x14ac:dyDescent="0.2">
      <c r="A492" s="141"/>
      <c r="B492" s="450" t="s">
        <v>1308</v>
      </c>
      <c r="C492" s="451"/>
      <c r="D492" s="451"/>
      <c r="E492" s="451"/>
      <c r="F492" s="451"/>
      <c r="G492" s="451"/>
      <c r="H492" s="451"/>
      <c r="I492" s="451"/>
      <c r="J492" s="452"/>
    </row>
    <row r="493" spans="1:12" ht="17.45" customHeight="1" thickBot="1" x14ac:dyDescent="0.25">
      <c r="A493" s="140"/>
      <c r="B493" s="453"/>
      <c r="C493" s="454"/>
      <c r="D493" s="454"/>
      <c r="E493" s="454"/>
      <c r="F493" s="454"/>
      <c r="G493" s="454"/>
      <c r="H493" s="454"/>
      <c r="I493" s="454"/>
      <c r="J493" s="455"/>
    </row>
    <row r="494" spans="1:12" ht="13.5" thickBot="1" x14ac:dyDescent="0.25"/>
    <row r="495" spans="1:12" ht="17.45" customHeight="1" x14ac:dyDescent="0.2">
      <c r="A495" s="136"/>
      <c r="B495" s="476" t="s">
        <v>25</v>
      </c>
      <c r="C495" s="477"/>
      <c r="D495" s="477"/>
      <c r="E495" s="477"/>
      <c r="F495" s="477"/>
      <c r="G495" s="477"/>
      <c r="H495" s="477"/>
      <c r="I495" s="477"/>
      <c r="J495" s="478"/>
      <c r="K495" s="190"/>
      <c r="L495" s="137"/>
    </row>
    <row r="496" spans="1:12" ht="17.45" customHeight="1" x14ac:dyDescent="0.2">
      <c r="A496" s="141"/>
      <c r="B496" s="144" t="s">
        <v>43</v>
      </c>
      <c r="C496" s="254" t="s">
        <v>108</v>
      </c>
      <c r="D496" s="193"/>
      <c r="E496" s="253"/>
      <c r="F496" s="143" t="s">
        <v>113</v>
      </c>
      <c r="G496" s="479"/>
      <c r="H496" s="479"/>
      <c r="I496" s="145"/>
      <c r="J496" s="249">
        <v>44682</v>
      </c>
      <c r="K496" s="190"/>
      <c r="L496" s="137"/>
    </row>
    <row r="497" spans="1:13" ht="25.5" customHeight="1" x14ac:dyDescent="0.2">
      <c r="A497" s="141"/>
      <c r="B497" s="144" t="s">
        <v>4</v>
      </c>
      <c r="C497" s="480" t="s">
        <v>1264</v>
      </c>
      <c r="D497" s="480" t="e">
        <v>#N/A</v>
      </c>
      <c r="E497" s="480" t="e">
        <v>#N/A</v>
      </c>
      <c r="F497" s="480" t="e">
        <v>#N/A</v>
      </c>
      <c r="G497" s="480" t="e">
        <v>#N/A</v>
      </c>
      <c r="H497" s="480" t="e">
        <v>#N/A</v>
      </c>
      <c r="I497" s="480" t="e">
        <v>#N/A</v>
      </c>
      <c r="J497" s="481" t="e">
        <v>#N/A</v>
      </c>
      <c r="K497" s="185" t="s">
        <v>114</v>
      </c>
      <c r="L497" s="186" t="s">
        <v>89</v>
      </c>
      <c r="M497" s="187" t="s">
        <v>115</v>
      </c>
    </row>
    <row r="498" spans="1:13" ht="17.45" customHeight="1" x14ac:dyDescent="0.2">
      <c r="A498" s="140" t="s">
        <v>1279</v>
      </c>
      <c r="B498" s="146" t="s">
        <v>46</v>
      </c>
      <c r="C498" s="252" t="s">
        <v>1279</v>
      </c>
      <c r="D498" s="194" t="s">
        <v>45</v>
      </c>
      <c r="E498" s="482" t="s">
        <v>1307</v>
      </c>
      <c r="F498" s="482"/>
      <c r="G498" s="482"/>
      <c r="H498" s="483"/>
      <c r="I498" s="181" t="s">
        <v>116</v>
      </c>
      <c r="J498" s="183" t="s">
        <v>23</v>
      </c>
      <c r="K498" s="184">
        <v>0</v>
      </c>
      <c r="L498" s="188">
        <v>686.49</v>
      </c>
      <c r="M498" s="189">
        <v>0</v>
      </c>
    </row>
    <row r="499" spans="1:13" ht="17.45" customHeight="1" x14ac:dyDescent="0.2">
      <c r="A499" s="148"/>
      <c r="B499" s="251"/>
      <c r="C499" s="179" t="s">
        <v>1247</v>
      </c>
      <c r="D499" s="484" t="s">
        <v>6</v>
      </c>
      <c r="E499" s="485"/>
      <c r="F499" s="485"/>
      <c r="G499" s="486"/>
      <c r="H499" s="485"/>
      <c r="I499" s="485"/>
      <c r="J499" s="487"/>
      <c r="K499" s="182"/>
    </row>
    <row r="500" spans="1:13" ht="15" customHeight="1" x14ac:dyDescent="0.2">
      <c r="A500" s="140"/>
      <c r="B500" s="150" t="s">
        <v>29</v>
      </c>
      <c r="C500" s="151" t="s">
        <v>66</v>
      </c>
      <c r="D500" s="195" t="s">
        <v>7</v>
      </c>
      <c r="E500" s="152" t="s">
        <v>30</v>
      </c>
      <c r="F500" s="152" t="s">
        <v>112</v>
      </c>
      <c r="G500" s="488" t="s">
        <v>110</v>
      </c>
      <c r="H500" s="489"/>
      <c r="I500" s="488" t="s">
        <v>111</v>
      </c>
      <c r="J500" s="490"/>
      <c r="K500" s="182"/>
    </row>
    <row r="501" spans="1:13" ht="25.5" x14ac:dyDescent="0.2">
      <c r="A501" s="140"/>
      <c r="B501" s="172" t="s">
        <v>100</v>
      </c>
      <c r="C501" s="154">
        <v>88274</v>
      </c>
      <c r="D501" s="191" t="s">
        <v>1304</v>
      </c>
      <c r="E501" s="155" t="s">
        <v>48</v>
      </c>
      <c r="F501" s="156"/>
      <c r="G501" s="428">
        <v>34.07</v>
      </c>
      <c r="H501" s="429" t="e">
        <v>#N/A</v>
      </c>
      <c r="I501" s="430">
        <v>0</v>
      </c>
      <c r="J501" s="431"/>
    </row>
    <row r="502" spans="1:13" x14ac:dyDescent="0.2">
      <c r="A502" s="140"/>
      <c r="B502" s="157" t="s">
        <v>100</v>
      </c>
      <c r="C502" s="158">
        <v>88316</v>
      </c>
      <c r="D502" s="196" t="s">
        <v>56</v>
      </c>
      <c r="E502" s="159" t="s">
        <v>48</v>
      </c>
      <c r="F502" s="160"/>
      <c r="G502" s="432">
        <v>32.119999999999997</v>
      </c>
      <c r="H502" s="433" t="e">
        <v>#N/A</v>
      </c>
      <c r="I502" s="434">
        <v>0</v>
      </c>
      <c r="J502" s="435"/>
    </row>
    <row r="503" spans="1:13" ht="17.45" customHeight="1" x14ac:dyDescent="0.2">
      <c r="A503" s="140"/>
      <c r="B503" s="161"/>
      <c r="C503" s="162"/>
      <c r="D503" s="197"/>
      <c r="E503" s="163"/>
      <c r="F503" s="163"/>
      <c r="G503" s="456"/>
      <c r="H503" s="457"/>
      <c r="I503" s="464"/>
      <c r="J503" s="465"/>
    </row>
    <row r="504" spans="1:13" ht="17.45" customHeight="1" x14ac:dyDescent="0.2">
      <c r="A504" s="136"/>
      <c r="B504" s="466" t="s">
        <v>44</v>
      </c>
      <c r="C504" s="467"/>
      <c r="D504" s="468"/>
      <c r="E504" s="468"/>
      <c r="F504" s="468"/>
      <c r="G504" s="468"/>
      <c r="H504" s="468"/>
      <c r="I504" s="469">
        <v>0</v>
      </c>
      <c r="J504" s="470"/>
    </row>
    <row r="505" spans="1:13" ht="17.45" customHeight="1" x14ac:dyDescent="0.2">
      <c r="A505" s="136"/>
      <c r="B505" s="466" t="s">
        <v>117</v>
      </c>
      <c r="C505" s="467"/>
      <c r="D505" s="468"/>
      <c r="E505" s="468"/>
      <c r="F505" s="164"/>
      <c r="G505" s="257"/>
      <c r="H505" s="255"/>
      <c r="I505" s="471">
        <v>0</v>
      </c>
      <c r="J505" s="472"/>
    </row>
    <row r="506" spans="1:13" ht="17.45" customHeight="1" x14ac:dyDescent="0.2">
      <c r="A506" s="136"/>
      <c r="B506" s="439" t="s">
        <v>8</v>
      </c>
      <c r="C506" s="440"/>
      <c r="D506" s="441"/>
      <c r="E506" s="441"/>
      <c r="F506" s="441"/>
      <c r="G506" s="441"/>
      <c r="H506" s="441"/>
      <c r="I506" s="473">
        <v>0</v>
      </c>
      <c r="J506" s="474"/>
    </row>
    <row r="507" spans="1:13" ht="17.45" customHeight="1" x14ac:dyDescent="0.2">
      <c r="A507" s="148"/>
      <c r="B507" s="256"/>
      <c r="C507" s="142"/>
      <c r="D507" s="475" t="s">
        <v>9</v>
      </c>
      <c r="E507" s="475"/>
      <c r="F507" s="460"/>
      <c r="G507" s="460"/>
      <c r="H507" s="460"/>
      <c r="I507" s="460"/>
      <c r="J507" s="461"/>
    </row>
    <row r="508" spans="1:13" ht="30" customHeight="1" x14ac:dyDescent="0.2">
      <c r="A508" s="140"/>
      <c r="B508" s="170" t="s">
        <v>29</v>
      </c>
      <c r="C508" s="151" t="s">
        <v>66</v>
      </c>
      <c r="D508" s="198" t="s">
        <v>7</v>
      </c>
      <c r="E508" s="171" t="s">
        <v>0</v>
      </c>
      <c r="F508" s="171" t="s">
        <v>10</v>
      </c>
      <c r="G508" s="462" t="s">
        <v>11</v>
      </c>
      <c r="H508" s="462"/>
      <c r="I508" s="462" t="s">
        <v>12</v>
      </c>
      <c r="J508" s="463"/>
    </row>
    <row r="509" spans="1:13" ht="51" x14ac:dyDescent="0.2">
      <c r="A509" s="140"/>
      <c r="B509" s="172" t="s">
        <v>2339</v>
      </c>
      <c r="C509" s="154" t="s">
        <v>1228</v>
      </c>
      <c r="D509" s="191" t="s">
        <v>1264</v>
      </c>
      <c r="E509" s="155" t="s">
        <v>23</v>
      </c>
      <c r="F509" s="156">
        <v>1</v>
      </c>
      <c r="G509" s="428">
        <v>682.04906936627947</v>
      </c>
      <c r="H509" s="429" t="e">
        <v>#N/A</v>
      </c>
      <c r="I509" s="430">
        <v>682.05</v>
      </c>
      <c r="J509" s="431"/>
    </row>
    <row r="510" spans="1:13" x14ac:dyDescent="0.2">
      <c r="A510" s="140"/>
      <c r="B510" s="157" t="s">
        <v>31</v>
      </c>
      <c r="C510" s="158">
        <v>37595</v>
      </c>
      <c r="D510" s="196" t="s">
        <v>1305</v>
      </c>
      <c r="E510" s="159" t="s">
        <v>1</v>
      </c>
      <c r="F510" s="160">
        <v>2.0640000000000001</v>
      </c>
      <c r="G510" s="432">
        <v>2.15</v>
      </c>
      <c r="H510" s="433" t="e">
        <v>#N/A</v>
      </c>
      <c r="I510" s="434">
        <v>4.4400000000000004</v>
      </c>
      <c r="J510" s="435"/>
    </row>
    <row r="511" spans="1:13" ht="17.45" customHeight="1" x14ac:dyDescent="0.2">
      <c r="A511" s="140"/>
      <c r="B511" s="175"/>
      <c r="C511" s="248"/>
      <c r="D511" s="199"/>
      <c r="E511" s="163"/>
      <c r="F511" s="163"/>
      <c r="G511" s="456"/>
      <c r="H511" s="457"/>
      <c r="I511" s="458"/>
      <c r="J511" s="459"/>
    </row>
    <row r="512" spans="1:13" ht="17.45" customHeight="1" x14ac:dyDescent="0.2">
      <c r="A512" s="136"/>
      <c r="B512" s="439" t="s">
        <v>13</v>
      </c>
      <c r="C512" s="440"/>
      <c r="D512" s="441"/>
      <c r="E512" s="441"/>
      <c r="F512" s="441"/>
      <c r="G512" s="441"/>
      <c r="H512" s="441"/>
      <c r="I512" s="446">
        <v>686.49</v>
      </c>
      <c r="J512" s="447"/>
    </row>
    <row r="513" spans="1:13" ht="17.45" customHeight="1" x14ac:dyDescent="0.2">
      <c r="A513" s="148"/>
      <c r="B513" s="251"/>
      <c r="C513" s="252"/>
      <c r="D513" s="460" t="s">
        <v>14</v>
      </c>
      <c r="E513" s="460"/>
      <c r="F513" s="460"/>
      <c r="G513" s="460"/>
      <c r="H513" s="460"/>
      <c r="I513" s="460"/>
      <c r="J513" s="461"/>
    </row>
    <row r="514" spans="1:13" ht="30" customHeight="1" x14ac:dyDescent="0.2">
      <c r="A514" s="140"/>
      <c r="B514" s="170" t="s">
        <v>29</v>
      </c>
      <c r="C514" s="176"/>
      <c r="D514" s="198" t="s">
        <v>7</v>
      </c>
      <c r="E514" s="171" t="s">
        <v>0</v>
      </c>
      <c r="F514" s="171" t="s">
        <v>10</v>
      </c>
      <c r="G514" s="462" t="s">
        <v>11</v>
      </c>
      <c r="H514" s="462"/>
      <c r="I514" s="462" t="s">
        <v>12</v>
      </c>
      <c r="J514" s="463"/>
    </row>
    <row r="515" spans="1:13" x14ac:dyDescent="0.2">
      <c r="A515" s="140"/>
      <c r="B515" s="153"/>
      <c r="C515" s="154"/>
      <c r="D515" s="191"/>
      <c r="E515" s="155"/>
      <c r="F515" s="156"/>
      <c r="G515" s="428"/>
      <c r="H515" s="429"/>
      <c r="I515" s="430"/>
      <c r="J515" s="431"/>
    </row>
    <row r="516" spans="1:13" x14ac:dyDescent="0.2">
      <c r="A516" s="140"/>
      <c r="B516" s="157"/>
      <c r="C516" s="158"/>
      <c r="D516" s="196"/>
      <c r="E516" s="159"/>
      <c r="F516" s="160"/>
      <c r="G516" s="432"/>
      <c r="H516" s="433"/>
      <c r="I516" s="434"/>
      <c r="J516" s="435"/>
    </row>
    <row r="517" spans="1:13" ht="17.45" customHeight="1" x14ac:dyDescent="0.2">
      <c r="A517" s="140"/>
      <c r="B517" s="175"/>
      <c r="C517" s="162"/>
      <c r="D517" s="199"/>
      <c r="E517" s="163"/>
      <c r="F517" s="177"/>
      <c r="G517" s="436"/>
      <c r="H517" s="437"/>
      <c r="I517" s="436"/>
      <c r="J517" s="438"/>
    </row>
    <row r="518" spans="1:13" ht="17.45" customHeight="1" x14ac:dyDescent="0.2">
      <c r="A518" s="136"/>
      <c r="B518" s="439" t="s">
        <v>15</v>
      </c>
      <c r="C518" s="440"/>
      <c r="D518" s="441"/>
      <c r="E518" s="441"/>
      <c r="F518" s="441"/>
      <c r="G518" s="441"/>
      <c r="H518" s="441"/>
      <c r="I518" s="442">
        <v>0</v>
      </c>
      <c r="J518" s="443"/>
    </row>
    <row r="519" spans="1:13" ht="17.45" customHeight="1" x14ac:dyDescent="0.2">
      <c r="A519" s="136"/>
      <c r="B519" s="439" t="s">
        <v>16</v>
      </c>
      <c r="C519" s="440"/>
      <c r="D519" s="441"/>
      <c r="E519" s="441"/>
      <c r="F519" s="441"/>
      <c r="G519" s="441"/>
      <c r="H519" s="441"/>
      <c r="I519" s="444">
        <v>686.49</v>
      </c>
      <c r="J519" s="445"/>
    </row>
    <row r="520" spans="1:13" ht="17.45" customHeight="1" x14ac:dyDescent="0.2">
      <c r="A520" s="140"/>
      <c r="B520" s="178"/>
      <c r="C520" s="179"/>
      <c r="D520" s="193" t="s">
        <v>17</v>
      </c>
      <c r="E520" s="180"/>
      <c r="F520" s="164">
        <v>0</v>
      </c>
      <c r="G520" s="253"/>
      <c r="H520" s="253"/>
      <c r="I520" s="446">
        <v>0</v>
      </c>
      <c r="J520" s="447"/>
    </row>
    <row r="521" spans="1:13" ht="17.45" customHeight="1" x14ac:dyDescent="0.2">
      <c r="A521" s="136"/>
      <c r="B521" s="439" t="s">
        <v>18</v>
      </c>
      <c r="C521" s="440"/>
      <c r="D521" s="441"/>
      <c r="E521" s="441"/>
      <c r="F521" s="441"/>
      <c r="G521" s="441"/>
      <c r="H521" s="441"/>
      <c r="I521" s="448">
        <v>686.49</v>
      </c>
      <c r="J521" s="449"/>
    </row>
    <row r="522" spans="1:13" ht="17.45" customHeight="1" x14ac:dyDescent="0.2">
      <c r="A522" s="141"/>
      <c r="B522" s="450" t="s">
        <v>1308</v>
      </c>
      <c r="C522" s="451"/>
      <c r="D522" s="451"/>
      <c r="E522" s="451"/>
      <c r="F522" s="451"/>
      <c r="G522" s="451"/>
      <c r="H522" s="451"/>
      <c r="I522" s="451"/>
      <c r="J522" s="452"/>
    </row>
    <row r="523" spans="1:13" ht="17.45" customHeight="1" thickBot="1" x14ac:dyDescent="0.25">
      <c r="A523" s="140"/>
      <c r="B523" s="453"/>
      <c r="C523" s="454"/>
      <c r="D523" s="454"/>
      <c r="E523" s="454"/>
      <c r="F523" s="454"/>
      <c r="G523" s="454"/>
      <c r="H523" s="454"/>
      <c r="I523" s="454"/>
      <c r="J523" s="455"/>
    </row>
    <row r="524" spans="1:13" ht="13.5" thickBot="1" x14ac:dyDescent="0.25"/>
    <row r="525" spans="1:13" ht="17.45" customHeight="1" x14ac:dyDescent="0.2">
      <c r="A525" s="136"/>
      <c r="B525" s="476" t="s">
        <v>25</v>
      </c>
      <c r="C525" s="477"/>
      <c r="D525" s="477"/>
      <c r="E525" s="477"/>
      <c r="F525" s="477"/>
      <c r="G525" s="477"/>
      <c r="H525" s="477"/>
      <c r="I525" s="477"/>
      <c r="J525" s="478"/>
      <c r="K525" s="190"/>
      <c r="L525" s="137"/>
    </row>
    <row r="526" spans="1:13" ht="17.45" customHeight="1" x14ac:dyDescent="0.2">
      <c r="A526" s="141"/>
      <c r="B526" s="144" t="s">
        <v>43</v>
      </c>
      <c r="C526" s="254" t="s">
        <v>108</v>
      </c>
      <c r="D526" s="193"/>
      <c r="E526" s="253"/>
      <c r="F526" s="143" t="s">
        <v>113</v>
      </c>
      <c r="G526" s="479"/>
      <c r="H526" s="479"/>
      <c r="I526" s="145"/>
      <c r="J526" s="249">
        <v>44682</v>
      </c>
      <c r="K526" s="190"/>
      <c r="L526" s="137"/>
    </row>
    <row r="527" spans="1:13" ht="18.75" customHeight="1" x14ac:dyDescent="0.2">
      <c r="A527" s="141"/>
      <c r="B527" s="144" t="s">
        <v>4</v>
      </c>
      <c r="C527" s="480" t="s">
        <v>1263</v>
      </c>
      <c r="D527" s="480" t="e">
        <v>#N/A</v>
      </c>
      <c r="E527" s="480" t="e">
        <v>#N/A</v>
      </c>
      <c r="F527" s="480" t="e">
        <v>#N/A</v>
      </c>
      <c r="G527" s="480" t="e">
        <v>#N/A</v>
      </c>
      <c r="H527" s="480" t="e">
        <v>#N/A</v>
      </c>
      <c r="I527" s="480" t="e">
        <v>#N/A</v>
      </c>
      <c r="J527" s="481" t="e">
        <v>#N/A</v>
      </c>
      <c r="K527" s="185" t="s">
        <v>114</v>
      </c>
      <c r="L527" s="186" t="s">
        <v>89</v>
      </c>
      <c r="M527" s="187" t="s">
        <v>115</v>
      </c>
    </row>
    <row r="528" spans="1:13" ht="17.45" customHeight="1" x14ac:dyDescent="0.2">
      <c r="A528" s="140" t="s">
        <v>1280</v>
      </c>
      <c r="B528" s="146" t="s">
        <v>46</v>
      </c>
      <c r="C528" s="252" t="s">
        <v>1280</v>
      </c>
      <c r="D528" s="194" t="s">
        <v>45</v>
      </c>
      <c r="E528" s="482" t="s">
        <v>1307</v>
      </c>
      <c r="F528" s="482"/>
      <c r="G528" s="482"/>
      <c r="H528" s="483"/>
      <c r="I528" s="181" t="s">
        <v>116</v>
      </c>
      <c r="J528" s="183" t="s">
        <v>23</v>
      </c>
      <c r="K528" s="184">
        <v>0</v>
      </c>
      <c r="L528" s="188">
        <v>308.68</v>
      </c>
      <c r="M528" s="189">
        <v>0</v>
      </c>
    </row>
    <row r="529" spans="1:11" ht="17.45" customHeight="1" x14ac:dyDescent="0.2">
      <c r="A529" s="148"/>
      <c r="B529" s="251"/>
      <c r="C529" s="179" t="s">
        <v>1247</v>
      </c>
      <c r="D529" s="484" t="s">
        <v>6</v>
      </c>
      <c r="E529" s="485"/>
      <c r="F529" s="485"/>
      <c r="G529" s="486"/>
      <c r="H529" s="485"/>
      <c r="I529" s="485"/>
      <c r="J529" s="487"/>
      <c r="K529" s="182"/>
    </row>
    <row r="530" spans="1:11" ht="15" customHeight="1" x14ac:dyDescent="0.2">
      <c r="A530" s="140"/>
      <c r="B530" s="150" t="s">
        <v>29</v>
      </c>
      <c r="C530" s="151" t="s">
        <v>66</v>
      </c>
      <c r="D530" s="195" t="s">
        <v>7</v>
      </c>
      <c r="E530" s="152" t="s">
        <v>30</v>
      </c>
      <c r="F530" s="152" t="s">
        <v>112</v>
      </c>
      <c r="G530" s="488" t="s">
        <v>110</v>
      </c>
      <c r="H530" s="489"/>
      <c r="I530" s="488" t="s">
        <v>111</v>
      </c>
      <c r="J530" s="490"/>
      <c r="K530" s="182"/>
    </row>
    <row r="531" spans="1:11" ht="25.5" x14ac:dyDescent="0.2">
      <c r="A531" s="140"/>
      <c r="B531" s="172" t="s">
        <v>100</v>
      </c>
      <c r="C531" s="154">
        <v>88274</v>
      </c>
      <c r="D531" s="191" t="s">
        <v>1304</v>
      </c>
      <c r="E531" s="155" t="s">
        <v>48</v>
      </c>
      <c r="F531" s="156"/>
      <c r="G531" s="428">
        <v>34.07</v>
      </c>
      <c r="H531" s="429" t="e">
        <v>#N/A</v>
      </c>
      <c r="I531" s="430">
        <v>0</v>
      </c>
      <c r="J531" s="431"/>
    </row>
    <row r="532" spans="1:11" x14ac:dyDescent="0.2">
      <c r="A532" s="140"/>
      <c r="B532" s="157" t="s">
        <v>100</v>
      </c>
      <c r="C532" s="158">
        <v>88316</v>
      </c>
      <c r="D532" s="196" t="s">
        <v>56</v>
      </c>
      <c r="E532" s="159" t="s">
        <v>48</v>
      </c>
      <c r="F532" s="160"/>
      <c r="G532" s="432">
        <v>32.119999999999997</v>
      </c>
      <c r="H532" s="433" t="e">
        <v>#N/A</v>
      </c>
      <c r="I532" s="434">
        <v>0</v>
      </c>
      <c r="J532" s="435"/>
    </row>
    <row r="533" spans="1:11" ht="17.45" customHeight="1" x14ac:dyDescent="0.2">
      <c r="A533" s="140"/>
      <c r="B533" s="161"/>
      <c r="C533" s="162"/>
      <c r="D533" s="197"/>
      <c r="E533" s="163"/>
      <c r="F533" s="163"/>
      <c r="G533" s="456"/>
      <c r="H533" s="457"/>
      <c r="I533" s="464"/>
      <c r="J533" s="465"/>
    </row>
    <row r="534" spans="1:11" ht="17.45" customHeight="1" x14ac:dyDescent="0.2">
      <c r="A534" s="136"/>
      <c r="B534" s="466" t="s">
        <v>44</v>
      </c>
      <c r="C534" s="467"/>
      <c r="D534" s="468"/>
      <c r="E534" s="468"/>
      <c r="F534" s="468"/>
      <c r="G534" s="468"/>
      <c r="H534" s="468"/>
      <c r="I534" s="469">
        <v>0</v>
      </c>
      <c r="J534" s="470"/>
    </row>
    <row r="535" spans="1:11" ht="17.45" customHeight="1" x14ac:dyDescent="0.2">
      <c r="A535" s="136"/>
      <c r="B535" s="466" t="s">
        <v>117</v>
      </c>
      <c r="C535" s="467"/>
      <c r="D535" s="468"/>
      <c r="E535" s="468"/>
      <c r="F535" s="164"/>
      <c r="G535" s="257"/>
      <c r="H535" s="255"/>
      <c r="I535" s="471">
        <v>0</v>
      </c>
      <c r="J535" s="472"/>
    </row>
    <row r="536" spans="1:11" ht="17.45" customHeight="1" x14ac:dyDescent="0.2">
      <c r="A536" s="136"/>
      <c r="B536" s="439" t="s">
        <v>8</v>
      </c>
      <c r="C536" s="440"/>
      <c r="D536" s="441"/>
      <c r="E536" s="441"/>
      <c r="F536" s="441"/>
      <c r="G536" s="441"/>
      <c r="H536" s="441"/>
      <c r="I536" s="473">
        <v>0</v>
      </c>
      <c r="J536" s="474"/>
    </row>
    <row r="537" spans="1:11" ht="17.45" customHeight="1" x14ac:dyDescent="0.2">
      <c r="A537" s="148"/>
      <c r="B537" s="256"/>
      <c r="C537" s="142"/>
      <c r="D537" s="475" t="s">
        <v>9</v>
      </c>
      <c r="E537" s="475"/>
      <c r="F537" s="460"/>
      <c r="G537" s="460"/>
      <c r="H537" s="460"/>
      <c r="I537" s="460"/>
      <c r="J537" s="461"/>
    </row>
    <row r="538" spans="1:11" ht="30" customHeight="1" x14ac:dyDescent="0.2">
      <c r="A538" s="140"/>
      <c r="B538" s="170" t="s">
        <v>29</v>
      </c>
      <c r="C538" s="151" t="s">
        <v>66</v>
      </c>
      <c r="D538" s="198" t="s">
        <v>7</v>
      </c>
      <c r="E538" s="171" t="s">
        <v>0</v>
      </c>
      <c r="F538" s="171" t="s">
        <v>10</v>
      </c>
      <c r="G538" s="462" t="s">
        <v>11</v>
      </c>
      <c r="H538" s="462"/>
      <c r="I538" s="462" t="s">
        <v>12</v>
      </c>
      <c r="J538" s="463"/>
    </row>
    <row r="539" spans="1:11" ht="38.25" x14ac:dyDescent="0.2">
      <c r="A539" s="140"/>
      <c r="B539" s="172" t="s">
        <v>2339</v>
      </c>
      <c r="C539" s="154" t="s">
        <v>1229</v>
      </c>
      <c r="D539" s="191" t="s">
        <v>1263</v>
      </c>
      <c r="E539" s="155" t="s">
        <v>23</v>
      </c>
      <c r="F539" s="156">
        <v>1</v>
      </c>
      <c r="G539" s="428">
        <v>304.90918120293043</v>
      </c>
      <c r="H539" s="429" t="e">
        <v>#N/A</v>
      </c>
      <c r="I539" s="430">
        <v>304.91000000000003</v>
      </c>
      <c r="J539" s="431"/>
    </row>
    <row r="540" spans="1:11" x14ac:dyDescent="0.2">
      <c r="A540" s="140"/>
      <c r="B540" s="157" t="s">
        <v>31</v>
      </c>
      <c r="C540" s="158">
        <v>37595</v>
      </c>
      <c r="D540" s="196" t="s">
        <v>1305</v>
      </c>
      <c r="E540" s="159" t="s">
        <v>1</v>
      </c>
      <c r="F540" s="160">
        <v>1.7544000000000002</v>
      </c>
      <c r="G540" s="432">
        <v>2.15</v>
      </c>
      <c r="H540" s="433" t="e">
        <v>#N/A</v>
      </c>
      <c r="I540" s="434">
        <v>3.77</v>
      </c>
      <c r="J540" s="435"/>
    </row>
    <row r="541" spans="1:11" ht="17.45" customHeight="1" x14ac:dyDescent="0.2">
      <c r="A541" s="140"/>
      <c r="B541" s="175"/>
      <c r="C541" s="248"/>
      <c r="D541" s="199"/>
      <c r="E541" s="163"/>
      <c r="F541" s="163"/>
      <c r="G541" s="456"/>
      <c r="H541" s="457"/>
      <c r="I541" s="458"/>
      <c r="J541" s="459"/>
    </row>
    <row r="542" spans="1:11" ht="17.45" customHeight="1" x14ac:dyDescent="0.2">
      <c r="A542" s="136"/>
      <c r="B542" s="439" t="s">
        <v>13</v>
      </c>
      <c r="C542" s="440"/>
      <c r="D542" s="441"/>
      <c r="E542" s="441"/>
      <c r="F542" s="441"/>
      <c r="G542" s="441"/>
      <c r="H542" s="441"/>
      <c r="I542" s="446">
        <v>308.68</v>
      </c>
      <c r="J542" s="447"/>
    </row>
    <row r="543" spans="1:11" ht="17.45" customHeight="1" x14ac:dyDescent="0.2">
      <c r="A543" s="148"/>
      <c r="B543" s="251"/>
      <c r="C543" s="252"/>
      <c r="D543" s="460" t="s">
        <v>14</v>
      </c>
      <c r="E543" s="460"/>
      <c r="F543" s="460"/>
      <c r="G543" s="460"/>
      <c r="H543" s="460"/>
      <c r="I543" s="460"/>
      <c r="J543" s="461"/>
    </row>
    <row r="544" spans="1:11" ht="30" customHeight="1" x14ac:dyDescent="0.2">
      <c r="A544" s="140"/>
      <c r="B544" s="170" t="s">
        <v>29</v>
      </c>
      <c r="C544" s="176"/>
      <c r="D544" s="198" t="s">
        <v>7</v>
      </c>
      <c r="E544" s="171" t="s">
        <v>0</v>
      </c>
      <c r="F544" s="171" t="s">
        <v>10</v>
      </c>
      <c r="G544" s="462" t="s">
        <v>11</v>
      </c>
      <c r="H544" s="462"/>
      <c r="I544" s="462" t="s">
        <v>12</v>
      </c>
      <c r="J544" s="463"/>
    </row>
    <row r="545" spans="1:13" x14ac:dyDescent="0.2">
      <c r="A545" s="140"/>
      <c r="B545" s="153"/>
      <c r="C545" s="154"/>
      <c r="D545" s="191"/>
      <c r="E545" s="155"/>
      <c r="F545" s="156"/>
      <c r="G545" s="428"/>
      <c r="H545" s="429"/>
      <c r="I545" s="430"/>
      <c r="J545" s="431"/>
    </row>
    <row r="546" spans="1:13" x14ac:dyDescent="0.2">
      <c r="A546" s="140"/>
      <c r="B546" s="157"/>
      <c r="C546" s="158"/>
      <c r="D546" s="196"/>
      <c r="E546" s="159"/>
      <c r="F546" s="160"/>
      <c r="G546" s="432"/>
      <c r="H546" s="433"/>
      <c r="I546" s="434"/>
      <c r="J546" s="435"/>
    </row>
    <row r="547" spans="1:13" ht="17.45" customHeight="1" x14ac:dyDescent="0.2">
      <c r="A547" s="140"/>
      <c r="B547" s="175"/>
      <c r="C547" s="162"/>
      <c r="D547" s="199"/>
      <c r="E547" s="163"/>
      <c r="F547" s="177"/>
      <c r="G547" s="436"/>
      <c r="H547" s="437"/>
      <c r="I547" s="436"/>
      <c r="J547" s="438"/>
    </row>
    <row r="548" spans="1:13" ht="17.45" customHeight="1" x14ac:dyDescent="0.2">
      <c r="A548" s="136"/>
      <c r="B548" s="439" t="s">
        <v>15</v>
      </c>
      <c r="C548" s="440"/>
      <c r="D548" s="441"/>
      <c r="E548" s="441"/>
      <c r="F548" s="441"/>
      <c r="G548" s="441"/>
      <c r="H548" s="441"/>
      <c r="I548" s="442">
        <v>0</v>
      </c>
      <c r="J548" s="443"/>
    </row>
    <row r="549" spans="1:13" ht="17.45" customHeight="1" x14ac:dyDescent="0.2">
      <c r="A549" s="136"/>
      <c r="B549" s="439" t="s">
        <v>16</v>
      </c>
      <c r="C549" s="440"/>
      <c r="D549" s="441"/>
      <c r="E549" s="441"/>
      <c r="F549" s="441"/>
      <c r="G549" s="441"/>
      <c r="H549" s="441"/>
      <c r="I549" s="444">
        <v>308.68</v>
      </c>
      <c r="J549" s="445"/>
    </row>
    <row r="550" spans="1:13" ht="17.45" customHeight="1" x14ac:dyDescent="0.2">
      <c r="A550" s="140"/>
      <c r="B550" s="178"/>
      <c r="C550" s="179"/>
      <c r="D550" s="193" t="s">
        <v>17</v>
      </c>
      <c r="E550" s="180"/>
      <c r="F550" s="164">
        <v>0</v>
      </c>
      <c r="G550" s="253"/>
      <c r="H550" s="253"/>
      <c r="I550" s="446">
        <v>0</v>
      </c>
      <c r="J550" s="447"/>
    </row>
    <row r="551" spans="1:13" ht="17.45" customHeight="1" x14ac:dyDescent="0.2">
      <c r="A551" s="136"/>
      <c r="B551" s="439" t="s">
        <v>18</v>
      </c>
      <c r="C551" s="440"/>
      <c r="D551" s="441"/>
      <c r="E551" s="441"/>
      <c r="F551" s="441"/>
      <c r="G551" s="441"/>
      <c r="H551" s="441"/>
      <c r="I551" s="448">
        <v>308.68</v>
      </c>
      <c r="J551" s="449"/>
    </row>
    <row r="552" spans="1:13" ht="17.45" customHeight="1" x14ac:dyDescent="0.2">
      <c r="A552" s="141"/>
      <c r="B552" s="450" t="s">
        <v>1308</v>
      </c>
      <c r="C552" s="451"/>
      <c r="D552" s="451"/>
      <c r="E552" s="451"/>
      <c r="F552" s="451"/>
      <c r="G552" s="451"/>
      <c r="H552" s="451"/>
      <c r="I552" s="451"/>
      <c r="J552" s="452"/>
    </row>
    <row r="553" spans="1:13" ht="17.45" customHeight="1" thickBot="1" x14ac:dyDescent="0.25">
      <c r="A553" s="140"/>
      <c r="B553" s="453"/>
      <c r="C553" s="454"/>
      <c r="D553" s="454"/>
      <c r="E553" s="454"/>
      <c r="F553" s="454"/>
      <c r="G553" s="454"/>
      <c r="H553" s="454"/>
      <c r="I553" s="454"/>
      <c r="J553" s="455"/>
    </row>
    <row r="554" spans="1:13" ht="13.5" thickBot="1" x14ac:dyDescent="0.25"/>
    <row r="555" spans="1:13" ht="17.45" customHeight="1" x14ac:dyDescent="0.2">
      <c r="A555" s="136"/>
      <c r="B555" s="476" t="s">
        <v>25</v>
      </c>
      <c r="C555" s="477"/>
      <c r="D555" s="477"/>
      <c r="E555" s="477"/>
      <c r="F555" s="477"/>
      <c r="G555" s="477"/>
      <c r="H555" s="477"/>
      <c r="I555" s="477"/>
      <c r="J555" s="478"/>
      <c r="K555" s="190"/>
      <c r="L555" s="137"/>
    </row>
    <row r="556" spans="1:13" ht="17.45" customHeight="1" x14ac:dyDescent="0.2">
      <c r="A556" s="141"/>
      <c r="B556" s="144" t="s">
        <v>43</v>
      </c>
      <c r="C556" s="254" t="s">
        <v>108</v>
      </c>
      <c r="D556" s="193"/>
      <c r="E556" s="253"/>
      <c r="F556" s="143" t="s">
        <v>113</v>
      </c>
      <c r="G556" s="479"/>
      <c r="H556" s="479"/>
      <c r="I556" s="145"/>
      <c r="J556" s="249">
        <v>44682</v>
      </c>
      <c r="K556" s="190"/>
      <c r="L556" s="137"/>
    </row>
    <row r="557" spans="1:13" ht="17.45" customHeight="1" x14ac:dyDescent="0.2">
      <c r="A557" s="141"/>
      <c r="B557" s="144" t="s">
        <v>4</v>
      </c>
      <c r="C557" s="480" t="s">
        <v>1262</v>
      </c>
      <c r="D557" s="480" t="e">
        <v>#N/A</v>
      </c>
      <c r="E557" s="480" t="e">
        <v>#N/A</v>
      </c>
      <c r="F557" s="480" t="e">
        <v>#N/A</v>
      </c>
      <c r="G557" s="480" t="e">
        <v>#N/A</v>
      </c>
      <c r="H557" s="480" t="e">
        <v>#N/A</v>
      </c>
      <c r="I557" s="480" t="e">
        <v>#N/A</v>
      </c>
      <c r="J557" s="481" t="e">
        <v>#N/A</v>
      </c>
      <c r="K557" s="185" t="s">
        <v>114</v>
      </c>
      <c r="L557" s="186" t="s">
        <v>89</v>
      </c>
      <c r="M557" s="187" t="s">
        <v>115</v>
      </c>
    </row>
    <row r="558" spans="1:13" ht="17.45" customHeight="1" x14ac:dyDescent="0.2">
      <c r="A558" s="140" t="s">
        <v>1281</v>
      </c>
      <c r="B558" s="146" t="s">
        <v>46</v>
      </c>
      <c r="C558" s="252" t="s">
        <v>1281</v>
      </c>
      <c r="D558" s="194" t="s">
        <v>45</v>
      </c>
      <c r="E558" s="482" t="s">
        <v>1309</v>
      </c>
      <c r="F558" s="482"/>
      <c r="G558" s="482"/>
      <c r="H558" s="483"/>
      <c r="I558" s="181" t="s">
        <v>116</v>
      </c>
      <c r="J558" s="183" t="s">
        <v>23</v>
      </c>
      <c r="K558" s="184">
        <v>0.72</v>
      </c>
      <c r="L558" s="188">
        <v>1108</v>
      </c>
      <c r="M558" s="189">
        <v>0</v>
      </c>
    </row>
    <row r="559" spans="1:13" ht="17.45" customHeight="1" x14ac:dyDescent="0.2">
      <c r="A559" s="148"/>
      <c r="B559" s="251"/>
      <c r="C559" s="179" t="s">
        <v>1247</v>
      </c>
      <c r="D559" s="484" t="s">
        <v>6</v>
      </c>
      <c r="E559" s="485"/>
      <c r="F559" s="485"/>
      <c r="G559" s="486"/>
      <c r="H559" s="485"/>
      <c r="I559" s="485"/>
      <c r="J559" s="487"/>
      <c r="K559" s="182"/>
    </row>
    <row r="560" spans="1:13" ht="15" customHeight="1" x14ac:dyDescent="0.2">
      <c r="A560" s="140"/>
      <c r="B560" s="150" t="s">
        <v>29</v>
      </c>
      <c r="C560" s="151" t="s">
        <v>66</v>
      </c>
      <c r="D560" s="195" t="s">
        <v>7</v>
      </c>
      <c r="E560" s="152" t="s">
        <v>30</v>
      </c>
      <c r="F560" s="152" t="s">
        <v>112</v>
      </c>
      <c r="G560" s="488" t="s">
        <v>110</v>
      </c>
      <c r="H560" s="489"/>
      <c r="I560" s="488" t="s">
        <v>111</v>
      </c>
      <c r="J560" s="490"/>
      <c r="K560" s="182"/>
    </row>
    <row r="561" spans="1:10" ht="25.5" x14ac:dyDescent="0.2">
      <c r="A561" s="140"/>
      <c r="B561" s="172" t="s">
        <v>100</v>
      </c>
      <c r="C561" s="154">
        <v>88274</v>
      </c>
      <c r="D561" s="191" t="s">
        <v>1304</v>
      </c>
      <c r="E561" s="155" t="s">
        <v>48</v>
      </c>
      <c r="F561" s="156"/>
      <c r="G561" s="428">
        <v>34.07</v>
      </c>
      <c r="H561" s="429" t="e">
        <v>#N/A</v>
      </c>
      <c r="I561" s="430">
        <v>0</v>
      </c>
      <c r="J561" s="431"/>
    </row>
    <row r="562" spans="1:10" x14ac:dyDescent="0.2">
      <c r="A562" s="140"/>
      <c r="B562" s="157" t="s">
        <v>100</v>
      </c>
      <c r="C562" s="158">
        <v>88316</v>
      </c>
      <c r="D562" s="196" t="s">
        <v>56</v>
      </c>
      <c r="E562" s="159" t="s">
        <v>48</v>
      </c>
      <c r="F562" s="160">
        <v>2.2319999999999996E-2</v>
      </c>
      <c r="G562" s="432">
        <v>32.119999999999997</v>
      </c>
      <c r="H562" s="433" t="e">
        <v>#N/A</v>
      </c>
      <c r="I562" s="434">
        <v>0.72</v>
      </c>
      <c r="J562" s="435"/>
    </row>
    <row r="563" spans="1:10" ht="17.45" customHeight="1" x14ac:dyDescent="0.2">
      <c r="A563" s="140"/>
      <c r="B563" s="161"/>
      <c r="C563" s="162"/>
      <c r="D563" s="197"/>
      <c r="E563" s="163"/>
      <c r="F563" s="163"/>
      <c r="G563" s="456"/>
      <c r="H563" s="457"/>
      <c r="I563" s="464"/>
      <c r="J563" s="465"/>
    </row>
    <row r="564" spans="1:10" ht="17.45" customHeight="1" x14ac:dyDescent="0.2">
      <c r="A564" s="136"/>
      <c r="B564" s="466" t="s">
        <v>44</v>
      </c>
      <c r="C564" s="467"/>
      <c r="D564" s="468"/>
      <c r="E564" s="468"/>
      <c r="F564" s="468"/>
      <c r="G564" s="468"/>
      <c r="H564" s="468"/>
      <c r="I564" s="469">
        <v>0.72</v>
      </c>
      <c r="J564" s="470"/>
    </row>
    <row r="565" spans="1:10" ht="17.45" customHeight="1" x14ac:dyDescent="0.2">
      <c r="A565" s="136"/>
      <c r="B565" s="466" t="s">
        <v>117</v>
      </c>
      <c r="C565" s="467"/>
      <c r="D565" s="468"/>
      <c r="E565" s="468"/>
      <c r="F565" s="164"/>
      <c r="G565" s="257"/>
      <c r="H565" s="255"/>
      <c r="I565" s="471">
        <v>0</v>
      </c>
      <c r="J565" s="472"/>
    </row>
    <row r="566" spans="1:10" ht="17.45" customHeight="1" x14ac:dyDescent="0.2">
      <c r="A566" s="136"/>
      <c r="B566" s="439" t="s">
        <v>8</v>
      </c>
      <c r="C566" s="440"/>
      <c r="D566" s="441"/>
      <c r="E566" s="441"/>
      <c r="F566" s="441"/>
      <c r="G566" s="441"/>
      <c r="H566" s="441"/>
      <c r="I566" s="473">
        <v>0.72</v>
      </c>
      <c r="J566" s="474"/>
    </row>
    <row r="567" spans="1:10" ht="17.45" customHeight="1" x14ac:dyDescent="0.2">
      <c r="A567" s="148"/>
      <c r="B567" s="256"/>
      <c r="C567" s="142"/>
      <c r="D567" s="475" t="s">
        <v>9</v>
      </c>
      <c r="E567" s="475"/>
      <c r="F567" s="460"/>
      <c r="G567" s="460"/>
      <c r="H567" s="460"/>
      <c r="I567" s="460"/>
      <c r="J567" s="461"/>
    </row>
    <row r="568" spans="1:10" ht="30" customHeight="1" x14ac:dyDescent="0.2">
      <c r="A568" s="140"/>
      <c r="B568" s="170" t="s">
        <v>29</v>
      </c>
      <c r="C568" s="151" t="s">
        <v>66</v>
      </c>
      <c r="D568" s="198" t="s">
        <v>7</v>
      </c>
      <c r="E568" s="171" t="s">
        <v>0</v>
      </c>
      <c r="F568" s="171" t="s">
        <v>10</v>
      </c>
      <c r="G568" s="462" t="s">
        <v>11</v>
      </c>
      <c r="H568" s="462"/>
      <c r="I568" s="462" t="s">
        <v>12</v>
      </c>
      <c r="J568" s="463"/>
    </row>
    <row r="569" spans="1:10" ht="38.25" x14ac:dyDescent="0.2">
      <c r="A569" s="140"/>
      <c r="B569" s="172" t="s">
        <v>2339</v>
      </c>
      <c r="C569" s="154" t="s">
        <v>1230</v>
      </c>
      <c r="D569" s="191" t="s">
        <v>1262</v>
      </c>
      <c r="E569" s="155" t="s">
        <v>23</v>
      </c>
      <c r="F569" s="156">
        <v>1</v>
      </c>
      <c r="G569" s="428">
        <v>1092.8772271018252</v>
      </c>
      <c r="H569" s="429" t="e">
        <v>#N/A</v>
      </c>
      <c r="I569" s="430">
        <v>1092.8800000000001</v>
      </c>
      <c r="J569" s="431"/>
    </row>
    <row r="570" spans="1:10" x14ac:dyDescent="0.2">
      <c r="A570" s="140"/>
      <c r="B570" s="157" t="s">
        <v>31</v>
      </c>
      <c r="C570" s="158">
        <v>34357</v>
      </c>
      <c r="D570" s="196" t="s">
        <v>1302</v>
      </c>
      <c r="E570" s="159" t="s">
        <v>102</v>
      </c>
      <c r="F570" s="160">
        <v>0.43415999999999993</v>
      </c>
      <c r="G570" s="432">
        <v>4.1100000000000003</v>
      </c>
      <c r="H570" s="433" t="e">
        <v>#N/A</v>
      </c>
      <c r="I570" s="434">
        <v>1.78</v>
      </c>
      <c r="J570" s="435"/>
    </row>
    <row r="571" spans="1:10" x14ac:dyDescent="0.2">
      <c r="A571" s="140"/>
      <c r="B571" s="157" t="s">
        <v>31</v>
      </c>
      <c r="C571" s="158">
        <v>37595</v>
      </c>
      <c r="D571" s="196" t="s">
        <v>1305</v>
      </c>
      <c r="E571" s="159" t="s">
        <v>1</v>
      </c>
      <c r="F571" s="160">
        <v>6.2063999999999995</v>
      </c>
      <c r="G571" s="432">
        <v>2.15</v>
      </c>
      <c r="H571" s="433" t="e">
        <v>#N/A</v>
      </c>
      <c r="I571" s="434">
        <v>13.34</v>
      </c>
      <c r="J571" s="435"/>
    </row>
    <row r="572" spans="1:10" ht="17.45" customHeight="1" x14ac:dyDescent="0.2">
      <c r="A572" s="140"/>
      <c r="B572" s="175"/>
      <c r="C572" s="248"/>
      <c r="D572" s="199"/>
      <c r="E572" s="163"/>
      <c r="F572" s="163"/>
      <c r="G572" s="456"/>
      <c r="H572" s="457"/>
      <c r="I572" s="458"/>
      <c r="J572" s="459"/>
    </row>
    <row r="573" spans="1:10" ht="17.45" customHeight="1" x14ac:dyDescent="0.2">
      <c r="A573" s="136"/>
      <c r="B573" s="439" t="s">
        <v>13</v>
      </c>
      <c r="C573" s="440"/>
      <c r="D573" s="441"/>
      <c r="E573" s="441"/>
      <c r="F573" s="441"/>
      <c r="G573" s="441"/>
      <c r="H573" s="441"/>
      <c r="I573" s="446">
        <v>1108</v>
      </c>
      <c r="J573" s="447"/>
    </row>
    <row r="574" spans="1:10" ht="17.45" customHeight="1" x14ac:dyDescent="0.2">
      <c r="A574" s="148"/>
      <c r="B574" s="251"/>
      <c r="C574" s="252"/>
      <c r="D574" s="460" t="s">
        <v>14</v>
      </c>
      <c r="E574" s="460"/>
      <c r="F574" s="460"/>
      <c r="G574" s="460"/>
      <c r="H574" s="460"/>
      <c r="I574" s="460"/>
      <c r="J574" s="461"/>
    </row>
    <row r="575" spans="1:10" ht="30" customHeight="1" x14ac:dyDescent="0.2">
      <c r="A575" s="140"/>
      <c r="B575" s="170" t="s">
        <v>29</v>
      </c>
      <c r="C575" s="176"/>
      <c r="D575" s="198" t="s">
        <v>7</v>
      </c>
      <c r="E575" s="171" t="s">
        <v>0</v>
      </c>
      <c r="F575" s="171" t="s">
        <v>10</v>
      </c>
      <c r="G575" s="462" t="s">
        <v>11</v>
      </c>
      <c r="H575" s="462"/>
      <c r="I575" s="462" t="s">
        <v>12</v>
      </c>
      <c r="J575" s="463"/>
    </row>
    <row r="576" spans="1:10" x14ac:dyDescent="0.2">
      <c r="A576" s="140"/>
      <c r="B576" s="153"/>
      <c r="C576" s="154"/>
      <c r="D576" s="191"/>
      <c r="E576" s="155"/>
      <c r="F576" s="156"/>
      <c r="G576" s="428"/>
      <c r="H576" s="429"/>
      <c r="I576" s="430"/>
      <c r="J576" s="431"/>
    </row>
    <row r="577" spans="1:13" x14ac:dyDescent="0.2">
      <c r="A577" s="140"/>
      <c r="B577" s="157"/>
      <c r="C577" s="158"/>
      <c r="D577" s="196"/>
      <c r="E577" s="159"/>
      <c r="F577" s="160"/>
      <c r="G577" s="432"/>
      <c r="H577" s="433"/>
      <c r="I577" s="434"/>
      <c r="J577" s="435"/>
    </row>
    <row r="578" spans="1:13" ht="17.45" customHeight="1" x14ac:dyDescent="0.2">
      <c r="A578" s="140"/>
      <c r="B578" s="175"/>
      <c r="C578" s="162"/>
      <c r="D578" s="199"/>
      <c r="E578" s="163"/>
      <c r="F578" s="177"/>
      <c r="G578" s="436"/>
      <c r="H578" s="437"/>
      <c r="I578" s="436"/>
      <c r="J578" s="438"/>
    </row>
    <row r="579" spans="1:13" ht="17.45" customHeight="1" x14ac:dyDescent="0.2">
      <c r="A579" s="136"/>
      <c r="B579" s="439" t="s">
        <v>15</v>
      </c>
      <c r="C579" s="440"/>
      <c r="D579" s="441"/>
      <c r="E579" s="441"/>
      <c r="F579" s="441"/>
      <c r="G579" s="441"/>
      <c r="H579" s="441"/>
      <c r="I579" s="442">
        <v>0</v>
      </c>
      <c r="J579" s="443"/>
    </row>
    <row r="580" spans="1:13" ht="17.45" customHeight="1" x14ac:dyDescent="0.2">
      <c r="A580" s="136"/>
      <c r="B580" s="439" t="s">
        <v>16</v>
      </c>
      <c r="C580" s="440"/>
      <c r="D580" s="441"/>
      <c r="E580" s="441"/>
      <c r="F580" s="441"/>
      <c r="G580" s="441"/>
      <c r="H580" s="441"/>
      <c r="I580" s="444">
        <v>1108.72</v>
      </c>
      <c r="J580" s="445"/>
    </row>
    <row r="581" spans="1:13" ht="17.45" customHeight="1" x14ac:dyDescent="0.2">
      <c r="A581" s="140"/>
      <c r="B581" s="178"/>
      <c r="C581" s="179"/>
      <c r="D581" s="193" t="s">
        <v>17</v>
      </c>
      <c r="E581" s="180"/>
      <c r="F581" s="164">
        <v>0</v>
      </c>
      <c r="G581" s="253"/>
      <c r="H581" s="253"/>
      <c r="I581" s="446">
        <v>0</v>
      </c>
      <c r="J581" s="447"/>
    </row>
    <row r="582" spans="1:13" ht="17.45" customHeight="1" x14ac:dyDescent="0.2">
      <c r="A582" s="136"/>
      <c r="B582" s="439" t="s">
        <v>18</v>
      </c>
      <c r="C582" s="440"/>
      <c r="D582" s="441"/>
      <c r="E582" s="441"/>
      <c r="F582" s="441"/>
      <c r="G582" s="441"/>
      <c r="H582" s="441"/>
      <c r="I582" s="448">
        <v>1108.72</v>
      </c>
      <c r="J582" s="449"/>
    </row>
    <row r="583" spans="1:13" ht="17.45" customHeight="1" x14ac:dyDescent="0.2">
      <c r="A583" s="141"/>
      <c r="B583" s="450" t="s">
        <v>1214</v>
      </c>
      <c r="C583" s="451"/>
      <c r="D583" s="451"/>
      <c r="E583" s="451"/>
      <c r="F583" s="451"/>
      <c r="G583" s="451"/>
      <c r="H583" s="451"/>
      <c r="I583" s="451"/>
      <c r="J583" s="452"/>
    </row>
    <row r="584" spans="1:13" ht="17.45" customHeight="1" thickBot="1" x14ac:dyDescent="0.25">
      <c r="A584" s="140"/>
      <c r="B584" s="453"/>
      <c r="C584" s="454"/>
      <c r="D584" s="454"/>
      <c r="E584" s="454"/>
      <c r="F584" s="454"/>
      <c r="G584" s="454"/>
      <c r="H584" s="454"/>
      <c r="I584" s="454"/>
      <c r="J584" s="455"/>
    </row>
    <row r="585" spans="1:13" ht="13.5" thickBot="1" x14ac:dyDescent="0.25"/>
    <row r="586" spans="1:13" ht="17.45" customHeight="1" x14ac:dyDescent="0.2">
      <c r="A586" s="136"/>
      <c r="B586" s="476" t="s">
        <v>25</v>
      </c>
      <c r="C586" s="477"/>
      <c r="D586" s="477"/>
      <c r="E586" s="477"/>
      <c r="F586" s="477"/>
      <c r="G586" s="477"/>
      <c r="H586" s="477"/>
      <c r="I586" s="477"/>
      <c r="J586" s="478"/>
      <c r="K586" s="190"/>
      <c r="L586" s="137"/>
    </row>
    <row r="587" spans="1:13" ht="17.45" customHeight="1" x14ac:dyDescent="0.2">
      <c r="A587" s="141"/>
      <c r="B587" s="144" t="s">
        <v>43</v>
      </c>
      <c r="C587" s="254" t="s">
        <v>108</v>
      </c>
      <c r="D587" s="193"/>
      <c r="E587" s="253"/>
      <c r="F587" s="143" t="s">
        <v>113</v>
      </c>
      <c r="G587" s="479"/>
      <c r="H587" s="479"/>
      <c r="I587" s="145"/>
      <c r="J587" s="249">
        <v>44682</v>
      </c>
      <c r="K587" s="190"/>
      <c r="L587" s="137"/>
    </row>
    <row r="588" spans="1:13" ht="17.45" customHeight="1" x14ac:dyDescent="0.2">
      <c r="A588" s="141"/>
      <c r="B588" s="144" t="s">
        <v>4</v>
      </c>
      <c r="C588" s="480" t="s">
        <v>1261</v>
      </c>
      <c r="D588" s="480" t="e">
        <v>#N/A</v>
      </c>
      <c r="E588" s="480" t="e">
        <v>#N/A</v>
      </c>
      <c r="F588" s="480" t="e">
        <v>#N/A</v>
      </c>
      <c r="G588" s="480" t="e">
        <v>#N/A</v>
      </c>
      <c r="H588" s="480" t="e">
        <v>#N/A</v>
      </c>
      <c r="I588" s="480" t="e">
        <v>#N/A</v>
      </c>
      <c r="J588" s="481" t="e">
        <v>#N/A</v>
      </c>
      <c r="K588" s="185" t="s">
        <v>114</v>
      </c>
      <c r="L588" s="186" t="s">
        <v>89</v>
      </c>
      <c r="M588" s="187" t="s">
        <v>115</v>
      </c>
    </row>
    <row r="589" spans="1:13" ht="17.45" customHeight="1" x14ac:dyDescent="0.2">
      <c r="A589" s="140" t="s">
        <v>1282</v>
      </c>
      <c r="B589" s="146" t="s">
        <v>46</v>
      </c>
      <c r="C589" s="252" t="s">
        <v>1282</v>
      </c>
      <c r="D589" s="194" t="s">
        <v>45</v>
      </c>
      <c r="E589" s="482" t="s">
        <v>1309</v>
      </c>
      <c r="F589" s="482"/>
      <c r="G589" s="482"/>
      <c r="H589" s="483"/>
      <c r="I589" s="181" t="s">
        <v>116</v>
      </c>
      <c r="J589" s="183" t="s">
        <v>23</v>
      </c>
      <c r="K589" s="184">
        <v>0.68</v>
      </c>
      <c r="L589" s="188">
        <v>1064.45</v>
      </c>
      <c r="M589" s="189">
        <v>0</v>
      </c>
    </row>
    <row r="590" spans="1:13" ht="17.45" customHeight="1" x14ac:dyDescent="0.2">
      <c r="A590" s="148"/>
      <c r="B590" s="251"/>
      <c r="C590" s="179" t="s">
        <v>1247</v>
      </c>
      <c r="D590" s="484" t="s">
        <v>6</v>
      </c>
      <c r="E590" s="485"/>
      <c r="F590" s="485"/>
      <c r="G590" s="486"/>
      <c r="H590" s="485"/>
      <c r="I590" s="485"/>
      <c r="J590" s="487"/>
      <c r="K590" s="182"/>
    </row>
    <row r="591" spans="1:13" ht="15" customHeight="1" x14ac:dyDescent="0.2">
      <c r="A591" s="140"/>
      <c r="B591" s="150" t="s">
        <v>29</v>
      </c>
      <c r="C591" s="151" t="s">
        <v>66</v>
      </c>
      <c r="D591" s="195" t="s">
        <v>7</v>
      </c>
      <c r="E591" s="152" t="s">
        <v>30</v>
      </c>
      <c r="F591" s="152" t="s">
        <v>112</v>
      </c>
      <c r="G591" s="488" t="s">
        <v>110</v>
      </c>
      <c r="H591" s="489"/>
      <c r="I591" s="488" t="s">
        <v>111</v>
      </c>
      <c r="J591" s="490"/>
      <c r="K591" s="182"/>
    </row>
    <row r="592" spans="1:13" ht="25.5" x14ac:dyDescent="0.2">
      <c r="A592" s="140"/>
      <c r="B592" s="172" t="s">
        <v>100</v>
      </c>
      <c r="C592" s="154">
        <v>88274</v>
      </c>
      <c r="D592" s="191" t="s">
        <v>1304</v>
      </c>
      <c r="E592" s="155" t="s">
        <v>48</v>
      </c>
      <c r="F592" s="156"/>
      <c r="G592" s="428">
        <v>34.07</v>
      </c>
      <c r="H592" s="429" t="e">
        <v>#N/A</v>
      </c>
      <c r="I592" s="430">
        <v>0</v>
      </c>
      <c r="J592" s="431"/>
    </row>
    <row r="593" spans="1:10" x14ac:dyDescent="0.2">
      <c r="A593" s="140"/>
      <c r="B593" s="157" t="s">
        <v>100</v>
      </c>
      <c r="C593" s="158">
        <v>88316</v>
      </c>
      <c r="D593" s="196" t="s">
        <v>56</v>
      </c>
      <c r="E593" s="159" t="s">
        <v>48</v>
      </c>
      <c r="F593" s="160">
        <v>2.1203999999999997E-2</v>
      </c>
      <c r="G593" s="432">
        <v>32.119999999999997</v>
      </c>
      <c r="H593" s="433" t="e">
        <v>#N/A</v>
      </c>
      <c r="I593" s="434">
        <v>0.68</v>
      </c>
      <c r="J593" s="435"/>
    </row>
    <row r="594" spans="1:10" ht="17.45" customHeight="1" x14ac:dyDescent="0.2">
      <c r="A594" s="140"/>
      <c r="B594" s="161"/>
      <c r="C594" s="162"/>
      <c r="D594" s="197"/>
      <c r="E594" s="163"/>
      <c r="F594" s="163"/>
      <c r="G594" s="456"/>
      <c r="H594" s="457"/>
      <c r="I594" s="464"/>
      <c r="J594" s="465"/>
    </row>
    <row r="595" spans="1:10" ht="17.45" customHeight="1" x14ac:dyDescent="0.2">
      <c r="A595" s="136"/>
      <c r="B595" s="466" t="s">
        <v>44</v>
      </c>
      <c r="C595" s="467"/>
      <c r="D595" s="468"/>
      <c r="E595" s="468"/>
      <c r="F595" s="468"/>
      <c r="G595" s="468"/>
      <c r="H595" s="468"/>
      <c r="I595" s="469">
        <v>0.68</v>
      </c>
      <c r="J595" s="470"/>
    </row>
    <row r="596" spans="1:10" ht="17.45" customHeight="1" x14ac:dyDescent="0.2">
      <c r="A596" s="136"/>
      <c r="B596" s="466" t="s">
        <v>117</v>
      </c>
      <c r="C596" s="467"/>
      <c r="D596" s="468"/>
      <c r="E596" s="468"/>
      <c r="F596" s="164"/>
      <c r="G596" s="257"/>
      <c r="H596" s="255"/>
      <c r="I596" s="471">
        <v>0</v>
      </c>
      <c r="J596" s="472"/>
    </row>
    <row r="597" spans="1:10" ht="17.45" customHeight="1" x14ac:dyDescent="0.2">
      <c r="A597" s="136"/>
      <c r="B597" s="439" t="s">
        <v>8</v>
      </c>
      <c r="C597" s="440"/>
      <c r="D597" s="441"/>
      <c r="E597" s="441"/>
      <c r="F597" s="441"/>
      <c r="G597" s="441"/>
      <c r="H597" s="441"/>
      <c r="I597" s="473">
        <v>0.68</v>
      </c>
      <c r="J597" s="474"/>
    </row>
    <row r="598" spans="1:10" ht="17.45" customHeight="1" x14ac:dyDescent="0.2">
      <c r="A598" s="148"/>
      <c r="B598" s="256"/>
      <c r="C598" s="142"/>
      <c r="D598" s="475" t="s">
        <v>9</v>
      </c>
      <c r="E598" s="475"/>
      <c r="F598" s="460"/>
      <c r="G598" s="460"/>
      <c r="H598" s="460"/>
      <c r="I598" s="460"/>
      <c r="J598" s="461"/>
    </row>
    <row r="599" spans="1:10" ht="30" customHeight="1" x14ac:dyDescent="0.2">
      <c r="A599" s="140"/>
      <c r="B599" s="170" t="s">
        <v>29</v>
      </c>
      <c r="C599" s="151" t="s">
        <v>66</v>
      </c>
      <c r="D599" s="198" t="s">
        <v>7</v>
      </c>
      <c r="E599" s="171" t="s">
        <v>0</v>
      </c>
      <c r="F599" s="171" t="s">
        <v>10</v>
      </c>
      <c r="G599" s="462" t="s">
        <v>11</v>
      </c>
      <c r="H599" s="462"/>
      <c r="I599" s="462" t="s">
        <v>12</v>
      </c>
      <c r="J599" s="463"/>
    </row>
    <row r="600" spans="1:10" ht="38.25" x14ac:dyDescent="0.2">
      <c r="A600" s="140"/>
      <c r="B600" s="172" t="s">
        <v>2339</v>
      </c>
      <c r="C600" s="154" t="s">
        <v>1231</v>
      </c>
      <c r="D600" s="191" t="s">
        <v>1261</v>
      </c>
      <c r="E600" s="155" t="s">
        <v>23</v>
      </c>
      <c r="F600" s="156">
        <v>1</v>
      </c>
      <c r="G600" s="428">
        <v>1049.9859490800675</v>
      </c>
      <c r="H600" s="429" t="e">
        <v>#N/A</v>
      </c>
      <c r="I600" s="430">
        <v>1049.99</v>
      </c>
      <c r="J600" s="431"/>
    </row>
    <row r="601" spans="1:10" x14ac:dyDescent="0.2">
      <c r="A601" s="140"/>
      <c r="B601" s="157" t="s">
        <v>31</v>
      </c>
      <c r="C601" s="158">
        <v>34357</v>
      </c>
      <c r="D601" s="196" t="s">
        <v>1302</v>
      </c>
      <c r="E601" s="159" t="s">
        <v>102</v>
      </c>
      <c r="F601" s="160">
        <v>0.43415999999999993</v>
      </c>
      <c r="G601" s="432">
        <v>4.1100000000000003</v>
      </c>
      <c r="H601" s="433" t="e">
        <v>#N/A</v>
      </c>
      <c r="I601" s="434">
        <v>1.78</v>
      </c>
      <c r="J601" s="435"/>
    </row>
    <row r="602" spans="1:10" x14ac:dyDescent="0.2">
      <c r="A602" s="140"/>
      <c r="B602" s="157" t="s">
        <v>31</v>
      </c>
      <c r="C602" s="158">
        <v>37595</v>
      </c>
      <c r="D602" s="196" t="s">
        <v>1305</v>
      </c>
      <c r="E602" s="159" t="s">
        <v>1</v>
      </c>
      <c r="F602" s="160">
        <v>5.8960799999999987</v>
      </c>
      <c r="G602" s="432">
        <v>2.15</v>
      </c>
      <c r="H602" s="433" t="e">
        <v>#N/A</v>
      </c>
      <c r="I602" s="434">
        <v>12.68</v>
      </c>
      <c r="J602" s="435"/>
    </row>
    <row r="603" spans="1:10" ht="17.45" customHeight="1" x14ac:dyDescent="0.2">
      <c r="A603" s="140"/>
      <c r="B603" s="175"/>
      <c r="C603" s="248"/>
      <c r="D603" s="199"/>
      <c r="E603" s="163"/>
      <c r="F603" s="163"/>
      <c r="G603" s="456"/>
      <c r="H603" s="457"/>
      <c r="I603" s="458"/>
      <c r="J603" s="459"/>
    </row>
    <row r="604" spans="1:10" ht="17.45" customHeight="1" x14ac:dyDescent="0.2">
      <c r="A604" s="136"/>
      <c r="B604" s="439" t="s">
        <v>13</v>
      </c>
      <c r="C604" s="440"/>
      <c r="D604" s="441"/>
      <c r="E604" s="441"/>
      <c r="F604" s="441"/>
      <c r="G604" s="441"/>
      <c r="H604" s="441"/>
      <c r="I604" s="446">
        <v>1064.45</v>
      </c>
      <c r="J604" s="447"/>
    </row>
    <row r="605" spans="1:10" ht="17.45" customHeight="1" x14ac:dyDescent="0.2">
      <c r="A605" s="148"/>
      <c r="B605" s="251"/>
      <c r="C605" s="252"/>
      <c r="D605" s="460" t="s">
        <v>14</v>
      </c>
      <c r="E605" s="460"/>
      <c r="F605" s="460"/>
      <c r="G605" s="460"/>
      <c r="H605" s="460"/>
      <c r="I605" s="460"/>
      <c r="J605" s="461"/>
    </row>
    <row r="606" spans="1:10" ht="30" customHeight="1" x14ac:dyDescent="0.2">
      <c r="A606" s="140"/>
      <c r="B606" s="170" t="s">
        <v>29</v>
      </c>
      <c r="C606" s="176"/>
      <c r="D606" s="198" t="s">
        <v>7</v>
      </c>
      <c r="E606" s="171" t="s">
        <v>0</v>
      </c>
      <c r="F606" s="171" t="s">
        <v>10</v>
      </c>
      <c r="G606" s="462" t="s">
        <v>11</v>
      </c>
      <c r="H606" s="462"/>
      <c r="I606" s="462" t="s">
        <v>12</v>
      </c>
      <c r="J606" s="463"/>
    </row>
    <row r="607" spans="1:10" x14ac:dyDescent="0.2">
      <c r="A607" s="140"/>
      <c r="B607" s="153"/>
      <c r="C607" s="154"/>
      <c r="D607" s="191"/>
      <c r="E607" s="155"/>
      <c r="F607" s="156"/>
      <c r="G607" s="428"/>
      <c r="H607" s="429"/>
      <c r="I607" s="430"/>
      <c r="J607" s="431"/>
    </row>
    <row r="608" spans="1:10" x14ac:dyDescent="0.2">
      <c r="A608" s="140"/>
      <c r="B608" s="157"/>
      <c r="C608" s="158"/>
      <c r="D608" s="196"/>
      <c r="E608" s="159"/>
      <c r="F608" s="160"/>
      <c r="G608" s="432"/>
      <c r="H608" s="433"/>
      <c r="I608" s="434"/>
      <c r="J608" s="435"/>
    </row>
    <row r="609" spans="1:13" ht="17.45" customHeight="1" x14ac:dyDescent="0.2">
      <c r="A609" s="140"/>
      <c r="B609" s="175"/>
      <c r="C609" s="162"/>
      <c r="D609" s="199"/>
      <c r="E609" s="163"/>
      <c r="F609" s="177"/>
      <c r="G609" s="436"/>
      <c r="H609" s="437"/>
      <c r="I609" s="436"/>
      <c r="J609" s="438"/>
    </row>
    <row r="610" spans="1:13" ht="17.45" customHeight="1" x14ac:dyDescent="0.2">
      <c r="A610" s="136"/>
      <c r="B610" s="439" t="s">
        <v>15</v>
      </c>
      <c r="C610" s="440"/>
      <c r="D610" s="441"/>
      <c r="E610" s="441"/>
      <c r="F610" s="441"/>
      <c r="G610" s="441"/>
      <c r="H610" s="441"/>
      <c r="I610" s="442">
        <v>0</v>
      </c>
      <c r="J610" s="443"/>
    </row>
    <row r="611" spans="1:13" ht="17.45" customHeight="1" x14ac:dyDescent="0.2">
      <c r="A611" s="136"/>
      <c r="B611" s="439" t="s">
        <v>16</v>
      </c>
      <c r="C611" s="440"/>
      <c r="D611" s="441"/>
      <c r="E611" s="441"/>
      <c r="F611" s="441"/>
      <c r="G611" s="441"/>
      <c r="H611" s="441"/>
      <c r="I611" s="444">
        <v>1065.1300000000001</v>
      </c>
      <c r="J611" s="445"/>
    </row>
    <row r="612" spans="1:13" ht="17.45" customHeight="1" x14ac:dyDescent="0.2">
      <c r="A612" s="140"/>
      <c r="B612" s="178"/>
      <c r="C612" s="179"/>
      <c r="D612" s="193" t="s">
        <v>17</v>
      </c>
      <c r="E612" s="180"/>
      <c r="F612" s="164">
        <v>0</v>
      </c>
      <c r="G612" s="253"/>
      <c r="H612" s="253"/>
      <c r="I612" s="446">
        <v>0</v>
      </c>
      <c r="J612" s="447"/>
    </row>
    <row r="613" spans="1:13" ht="17.45" customHeight="1" x14ac:dyDescent="0.2">
      <c r="A613" s="136"/>
      <c r="B613" s="439" t="s">
        <v>18</v>
      </c>
      <c r="C613" s="440"/>
      <c r="D613" s="441"/>
      <c r="E613" s="441"/>
      <c r="F613" s="441"/>
      <c r="G613" s="441"/>
      <c r="H613" s="441"/>
      <c r="I613" s="448">
        <v>1065.1300000000001</v>
      </c>
      <c r="J613" s="449"/>
    </row>
    <row r="614" spans="1:13" ht="17.45" customHeight="1" x14ac:dyDescent="0.2">
      <c r="A614" s="141"/>
      <c r="B614" s="450" t="s">
        <v>1214</v>
      </c>
      <c r="C614" s="451"/>
      <c r="D614" s="451"/>
      <c r="E614" s="451"/>
      <c r="F614" s="451"/>
      <c r="G614" s="451"/>
      <c r="H614" s="451"/>
      <c r="I614" s="451"/>
      <c r="J614" s="452"/>
    </row>
    <row r="615" spans="1:13" ht="17.45" customHeight="1" thickBot="1" x14ac:dyDescent="0.25">
      <c r="A615" s="140"/>
      <c r="B615" s="453"/>
      <c r="C615" s="454"/>
      <c r="D615" s="454"/>
      <c r="E615" s="454"/>
      <c r="F615" s="454"/>
      <c r="G615" s="454"/>
      <c r="H615" s="454"/>
      <c r="I615" s="454"/>
      <c r="J615" s="455"/>
    </row>
    <row r="616" spans="1:13" ht="13.5" thickBot="1" x14ac:dyDescent="0.25"/>
    <row r="617" spans="1:13" ht="17.45" customHeight="1" x14ac:dyDescent="0.2">
      <c r="A617" s="136"/>
      <c r="B617" s="476" t="s">
        <v>25</v>
      </c>
      <c r="C617" s="477"/>
      <c r="D617" s="477"/>
      <c r="E617" s="477"/>
      <c r="F617" s="477"/>
      <c r="G617" s="477"/>
      <c r="H617" s="477"/>
      <c r="I617" s="477"/>
      <c r="J617" s="478"/>
      <c r="K617" s="190"/>
      <c r="L617" s="137"/>
    </row>
    <row r="618" spans="1:13" ht="17.45" customHeight="1" x14ac:dyDescent="0.2">
      <c r="A618" s="141"/>
      <c r="B618" s="144" t="s">
        <v>43</v>
      </c>
      <c r="C618" s="254" t="s">
        <v>108</v>
      </c>
      <c r="D618" s="193"/>
      <c r="E618" s="253"/>
      <c r="F618" s="143" t="s">
        <v>113</v>
      </c>
      <c r="G618" s="479"/>
      <c r="H618" s="479"/>
      <c r="I618" s="145"/>
      <c r="J618" s="249">
        <v>44682</v>
      </c>
      <c r="K618" s="190"/>
      <c r="L618" s="137"/>
    </row>
    <row r="619" spans="1:13" ht="17.45" customHeight="1" x14ac:dyDescent="0.2">
      <c r="A619" s="141"/>
      <c r="B619" s="144" t="s">
        <v>4</v>
      </c>
      <c r="C619" s="480" t="s">
        <v>1260</v>
      </c>
      <c r="D619" s="480" t="e">
        <v>#N/A</v>
      </c>
      <c r="E619" s="480" t="e">
        <v>#N/A</v>
      </c>
      <c r="F619" s="480" t="e">
        <v>#N/A</v>
      </c>
      <c r="G619" s="480" t="e">
        <v>#N/A</v>
      </c>
      <c r="H619" s="480" t="e">
        <v>#N/A</v>
      </c>
      <c r="I619" s="480" t="e">
        <v>#N/A</v>
      </c>
      <c r="J619" s="481" t="e">
        <v>#N/A</v>
      </c>
      <c r="K619" s="185" t="s">
        <v>114</v>
      </c>
      <c r="L619" s="186" t="s">
        <v>89</v>
      </c>
      <c r="M619" s="187" t="s">
        <v>115</v>
      </c>
    </row>
    <row r="620" spans="1:13" ht="17.45" customHeight="1" x14ac:dyDescent="0.2">
      <c r="A620" s="140" t="s">
        <v>1283</v>
      </c>
      <c r="B620" s="146" t="s">
        <v>46</v>
      </c>
      <c r="C620" s="252" t="s">
        <v>1283</v>
      </c>
      <c r="D620" s="194" t="s">
        <v>45</v>
      </c>
      <c r="E620" s="482" t="s">
        <v>1309</v>
      </c>
      <c r="F620" s="482"/>
      <c r="G620" s="482"/>
      <c r="H620" s="483"/>
      <c r="I620" s="181" t="s">
        <v>116</v>
      </c>
      <c r="J620" s="183" t="s">
        <v>23</v>
      </c>
      <c r="K620" s="184">
        <v>0.8</v>
      </c>
      <c r="L620" s="188">
        <v>1238.74</v>
      </c>
      <c r="M620" s="189">
        <v>0</v>
      </c>
    </row>
    <row r="621" spans="1:13" ht="17.45" customHeight="1" x14ac:dyDescent="0.2">
      <c r="A621" s="148"/>
      <c r="B621" s="251"/>
      <c r="C621" s="179" t="s">
        <v>1247</v>
      </c>
      <c r="D621" s="484" t="s">
        <v>6</v>
      </c>
      <c r="E621" s="485"/>
      <c r="F621" s="485"/>
      <c r="G621" s="486"/>
      <c r="H621" s="485"/>
      <c r="I621" s="485"/>
      <c r="J621" s="487"/>
      <c r="K621" s="182"/>
    </row>
    <row r="622" spans="1:13" ht="15" customHeight="1" x14ac:dyDescent="0.2">
      <c r="A622" s="140"/>
      <c r="B622" s="150" t="s">
        <v>29</v>
      </c>
      <c r="C622" s="151" t="s">
        <v>66</v>
      </c>
      <c r="D622" s="195" t="s">
        <v>7</v>
      </c>
      <c r="E622" s="152" t="s">
        <v>30</v>
      </c>
      <c r="F622" s="152" t="s">
        <v>112</v>
      </c>
      <c r="G622" s="488" t="s">
        <v>110</v>
      </c>
      <c r="H622" s="489"/>
      <c r="I622" s="488" t="s">
        <v>111</v>
      </c>
      <c r="J622" s="490"/>
      <c r="K622" s="182"/>
    </row>
    <row r="623" spans="1:13" ht="25.5" x14ac:dyDescent="0.2">
      <c r="A623" s="140"/>
      <c r="B623" s="172" t="s">
        <v>100</v>
      </c>
      <c r="C623" s="154">
        <v>88274</v>
      </c>
      <c r="D623" s="191" t="s">
        <v>1304</v>
      </c>
      <c r="E623" s="155" t="s">
        <v>48</v>
      </c>
      <c r="F623" s="156"/>
      <c r="G623" s="428">
        <v>34.07</v>
      </c>
      <c r="H623" s="429" t="e">
        <v>#N/A</v>
      </c>
      <c r="I623" s="430">
        <v>0</v>
      </c>
      <c r="J623" s="431"/>
    </row>
    <row r="624" spans="1:13" x14ac:dyDescent="0.2">
      <c r="A624" s="140"/>
      <c r="B624" s="157" t="s">
        <v>100</v>
      </c>
      <c r="C624" s="158">
        <v>88316</v>
      </c>
      <c r="D624" s="196" t="s">
        <v>56</v>
      </c>
      <c r="E624" s="159" t="s">
        <v>48</v>
      </c>
      <c r="F624" s="160">
        <v>2.4923999999999998E-2</v>
      </c>
      <c r="G624" s="432">
        <v>32.119999999999997</v>
      </c>
      <c r="H624" s="433" t="e">
        <v>#N/A</v>
      </c>
      <c r="I624" s="434">
        <v>0.8</v>
      </c>
      <c r="J624" s="435"/>
    </row>
    <row r="625" spans="1:10" ht="17.45" customHeight="1" x14ac:dyDescent="0.2">
      <c r="A625" s="140"/>
      <c r="B625" s="161"/>
      <c r="C625" s="162"/>
      <c r="D625" s="197"/>
      <c r="E625" s="163"/>
      <c r="F625" s="163"/>
      <c r="G625" s="456"/>
      <c r="H625" s="457"/>
      <c r="I625" s="464"/>
      <c r="J625" s="465"/>
    </row>
    <row r="626" spans="1:10" ht="17.45" customHeight="1" x14ac:dyDescent="0.2">
      <c r="A626" s="136"/>
      <c r="B626" s="466" t="s">
        <v>44</v>
      </c>
      <c r="C626" s="467"/>
      <c r="D626" s="468"/>
      <c r="E626" s="468"/>
      <c r="F626" s="468"/>
      <c r="G626" s="468"/>
      <c r="H626" s="468"/>
      <c r="I626" s="469">
        <v>0.8</v>
      </c>
      <c r="J626" s="470"/>
    </row>
    <row r="627" spans="1:10" ht="17.45" customHeight="1" x14ac:dyDescent="0.2">
      <c r="A627" s="136"/>
      <c r="B627" s="466" t="s">
        <v>117</v>
      </c>
      <c r="C627" s="467"/>
      <c r="D627" s="468"/>
      <c r="E627" s="468"/>
      <c r="F627" s="164"/>
      <c r="G627" s="257"/>
      <c r="H627" s="255"/>
      <c r="I627" s="471">
        <v>0</v>
      </c>
      <c r="J627" s="472"/>
    </row>
    <row r="628" spans="1:10" ht="17.45" customHeight="1" x14ac:dyDescent="0.2">
      <c r="A628" s="136"/>
      <c r="B628" s="439" t="s">
        <v>8</v>
      </c>
      <c r="C628" s="440"/>
      <c r="D628" s="441"/>
      <c r="E628" s="441"/>
      <c r="F628" s="441"/>
      <c r="G628" s="441"/>
      <c r="H628" s="441"/>
      <c r="I628" s="473">
        <v>0.8</v>
      </c>
      <c r="J628" s="474"/>
    </row>
    <row r="629" spans="1:10" ht="17.45" customHeight="1" x14ac:dyDescent="0.2">
      <c r="A629" s="148"/>
      <c r="B629" s="256"/>
      <c r="C629" s="142"/>
      <c r="D629" s="475" t="s">
        <v>9</v>
      </c>
      <c r="E629" s="475"/>
      <c r="F629" s="460"/>
      <c r="G629" s="460"/>
      <c r="H629" s="460"/>
      <c r="I629" s="460"/>
      <c r="J629" s="461"/>
    </row>
    <row r="630" spans="1:10" ht="30" customHeight="1" x14ac:dyDescent="0.2">
      <c r="A630" s="140"/>
      <c r="B630" s="170" t="s">
        <v>29</v>
      </c>
      <c r="C630" s="151" t="s">
        <v>66</v>
      </c>
      <c r="D630" s="198" t="s">
        <v>7</v>
      </c>
      <c r="E630" s="171" t="s">
        <v>0</v>
      </c>
      <c r="F630" s="171" t="s">
        <v>10</v>
      </c>
      <c r="G630" s="462" t="s">
        <v>11</v>
      </c>
      <c r="H630" s="462"/>
      <c r="I630" s="462" t="s">
        <v>12</v>
      </c>
      <c r="J630" s="463"/>
    </row>
    <row r="631" spans="1:10" ht="38.25" x14ac:dyDescent="0.2">
      <c r="A631" s="140"/>
      <c r="B631" s="172" t="s">
        <v>2339</v>
      </c>
      <c r="C631" s="154" t="s">
        <v>1232</v>
      </c>
      <c r="D631" s="191" t="s">
        <v>1260</v>
      </c>
      <c r="E631" s="155" t="s">
        <v>23</v>
      </c>
      <c r="F631" s="156">
        <v>1</v>
      </c>
      <c r="G631" s="428">
        <v>1221.8529814116507</v>
      </c>
      <c r="H631" s="429" t="e">
        <v>#N/A</v>
      </c>
      <c r="I631" s="430">
        <v>1221.8499999999999</v>
      </c>
      <c r="J631" s="431"/>
    </row>
    <row r="632" spans="1:10" x14ac:dyDescent="0.2">
      <c r="A632" s="140"/>
      <c r="B632" s="157" t="s">
        <v>31</v>
      </c>
      <c r="C632" s="158">
        <v>34357</v>
      </c>
      <c r="D632" s="196" t="s">
        <v>1302</v>
      </c>
      <c r="E632" s="159" t="s">
        <v>102</v>
      </c>
      <c r="F632" s="160">
        <v>0.48481200000000002</v>
      </c>
      <c r="G632" s="432">
        <v>4.1100000000000003</v>
      </c>
      <c r="H632" s="433" t="e">
        <v>#N/A</v>
      </c>
      <c r="I632" s="434">
        <v>1.99</v>
      </c>
      <c r="J632" s="435"/>
    </row>
    <row r="633" spans="1:10" x14ac:dyDescent="0.2">
      <c r="A633" s="140"/>
      <c r="B633" s="157" t="s">
        <v>31</v>
      </c>
      <c r="C633" s="158">
        <v>37595</v>
      </c>
      <c r="D633" s="196" t="s">
        <v>1305</v>
      </c>
      <c r="E633" s="159" t="s">
        <v>1</v>
      </c>
      <c r="F633" s="160">
        <v>6.9304799999999993</v>
      </c>
      <c r="G633" s="432">
        <v>2.15</v>
      </c>
      <c r="H633" s="433" t="e">
        <v>#N/A</v>
      </c>
      <c r="I633" s="434">
        <v>14.9</v>
      </c>
      <c r="J633" s="435"/>
    </row>
    <row r="634" spans="1:10" ht="17.45" customHeight="1" x14ac:dyDescent="0.2">
      <c r="A634" s="140"/>
      <c r="B634" s="175"/>
      <c r="C634" s="248"/>
      <c r="D634" s="199"/>
      <c r="E634" s="163"/>
      <c r="F634" s="163"/>
      <c r="G634" s="456"/>
      <c r="H634" s="457"/>
      <c r="I634" s="458"/>
      <c r="J634" s="459"/>
    </row>
    <row r="635" spans="1:10" ht="17.45" customHeight="1" x14ac:dyDescent="0.2">
      <c r="A635" s="136"/>
      <c r="B635" s="439" t="s">
        <v>13</v>
      </c>
      <c r="C635" s="440"/>
      <c r="D635" s="441"/>
      <c r="E635" s="441"/>
      <c r="F635" s="441"/>
      <c r="G635" s="441"/>
      <c r="H635" s="441"/>
      <c r="I635" s="446">
        <v>1238.74</v>
      </c>
      <c r="J635" s="447"/>
    </row>
    <row r="636" spans="1:10" ht="17.45" customHeight="1" x14ac:dyDescent="0.2">
      <c r="A636" s="148"/>
      <c r="B636" s="251"/>
      <c r="C636" s="252"/>
      <c r="D636" s="460" t="s">
        <v>14</v>
      </c>
      <c r="E636" s="460"/>
      <c r="F636" s="460"/>
      <c r="G636" s="460"/>
      <c r="H636" s="460"/>
      <c r="I636" s="460"/>
      <c r="J636" s="461"/>
    </row>
    <row r="637" spans="1:10" ht="30" customHeight="1" x14ac:dyDescent="0.2">
      <c r="A637" s="140"/>
      <c r="B637" s="170" t="s">
        <v>29</v>
      </c>
      <c r="C637" s="176"/>
      <c r="D637" s="198" t="s">
        <v>7</v>
      </c>
      <c r="E637" s="171" t="s">
        <v>0</v>
      </c>
      <c r="F637" s="171" t="s">
        <v>10</v>
      </c>
      <c r="G637" s="462" t="s">
        <v>11</v>
      </c>
      <c r="H637" s="462"/>
      <c r="I637" s="462" t="s">
        <v>12</v>
      </c>
      <c r="J637" s="463"/>
    </row>
    <row r="638" spans="1:10" x14ac:dyDescent="0.2">
      <c r="A638" s="140"/>
      <c r="B638" s="153"/>
      <c r="C638" s="154"/>
      <c r="D638" s="191"/>
      <c r="E638" s="155"/>
      <c r="F638" s="156"/>
      <c r="G638" s="428"/>
      <c r="H638" s="429"/>
      <c r="I638" s="430"/>
      <c r="J638" s="431"/>
    </row>
    <row r="639" spans="1:10" x14ac:dyDescent="0.2">
      <c r="A639" s="140"/>
      <c r="B639" s="157"/>
      <c r="C639" s="158"/>
      <c r="D639" s="196"/>
      <c r="E639" s="159"/>
      <c r="F639" s="160"/>
      <c r="G639" s="432"/>
      <c r="H639" s="433"/>
      <c r="I639" s="434"/>
      <c r="J639" s="435"/>
    </row>
    <row r="640" spans="1:10" ht="17.45" customHeight="1" x14ac:dyDescent="0.2">
      <c r="A640" s="140"/>
      <c r="B640" s="175"/>
      <c r="C640" s="162"/>
      <c r="D640" s="199"/>
      <c r="E640" s="163"/>
      <c r="F640" s="177"/>
      <c r="G640" s="436"/>
      <c r="H640" s="437"/>
      <c r="I640" s="436"/>
      <c r="J640" s="438"/>
    </row>
    <row r="641" spans="1:13" ht="17.45" customHeight="1" x14ac:dyDescent="0.2">
      <c r="A641" s="136"/>
      <c r="B641" s="439" t="s">
        <v>15</v>
      </c>
      <c r="C641" s="440"/>
      <c r="D641" s="441"/>
      <c r="E641" s="441"/>
      <c r="F641" s="441"/>
      <c r="G641" s="441"/>
      <c r="H641" s="441"/>
      <c r="I641" s="442">
        <v>0</v>
      </c>
      <c r="J641" s="443"/>
    </row>
    <row r="642" spans="1:13" ht="17.45" customHeight="1" x14ac:dyDescent="0.2">
      <c r="A642" s="136"/>
      <c r="B642" s="439" t="s">
        <v>16</v>
      </c>
      <c r="C642" s="440"/>
      <c r="D642" s="441"/>
      <c r="E642" s="441"/>
      <c r="F642" s="441"/>
      <c r="G642" s="441"/>
      <c r="H642" s="441"/>
      <c r="I642" s="444">
        <v>1239.54</v>
      </c>
      <c r="J642" s="445"/>
    </row>
    <row r="643" spans="1:13" ht="17.45" customHeight="1" x14ac:dyDescent="0.2">
      <c r="A643" s="140"/>
      <c r="B643" s="178"/>
      <c r="C643" s="179"/>
      <c r="D643" s="193" t="s">
        <v>17</v>
      </c>
      <c r="E643" s="180"/>
      <c r="F643" s="164">
        <v>0</v>
      </c>
      <c r="G643" s="253"/>
      <c r="H643" s="253"/>
      <c r="I643" s="446">
        <v>0</v>
      </c>
      <c r="J643" s="447"/>
    </row>
    <row r="644" spans="1:13" ht="17.45" customHeight="1" x14ac:dyDescent="0.2">
      <c r="A644" s="136"/>
      <c r="B644" s="439" t="s">
        <v>18</v>
      </c>
      <c r="C644" s="440"/>
      <c r="D644" s="441"/>
      <c r="E644" s="441"/>
      <c r="F644" s="441"/>
      <c r="G644" s="441"/>
      <c r="H644" s="441"/>
      <c r="I644" s="448">
        <v>1239.54</v>
      </c>
      <c r="J644" s="449"/>
    </row>
    <row r="645" spans="1:13" ht="17.45" customHeight="1" x14ac:dyDescent="0.2">
      <c r="A645" s="141"/>
      <c r="B645" s="450" t="s">
        <v>1214</v>
      </c>
      <c r="C645" s="451"/>
      <c r="D645" s="451"/>
      <c r="E645" s="451"/>
      <c r="F645" s="451"/>
      <c r="G645" s="451"/>
      <c r="H645" s="451"/>
      <c r="I645" s="451"/>
      <c r="J645" s="452"/>
    </row>
    <row r="646" spans="1:13" ht="17.45" customHeight="1" thickBot="1" x14ac:dyDescent="0.25">
      <c r="A646" s="140"/>
      <c r="B646" s="453"/>
      <c r="C646" s="454"/>
      <c r="D646" s="454"/>
      <c r="E646" s="454"/>
      <c r="F646" s="454"/>
      <c r="G646" s="454"/>
      <c r="H646" s="454"/>
      <c r="I646" s="454"/>
      <c r="J646" s="455"/>
    </row>
    <row r="647" spans="1:13" ht="13.5" thickBot="1" x14ac:dyDescent="0.25"/>
    <row r="648" spans="1:13" ht="17.45" customHeight="1" x14ac:dyDescent="0.2">
      <c r="A648" s="136"/>
      <c r="B648" s="476" t="s">
        <v>25</v>
      </c>
      <c r="C648" s="477"/>
      <c r="D648" s="477"/>
      <c r="E648" s="477"/>
      <c r="F648" s="477"/>
      <c r="G648" s="477"/>
      <c r="H648" s="477"/>
      <c r="I648" s="477"/>
      <c r="J648" s="478"/>
      <c r="K648" s="190"/>
      <c r="L648" s="137"/>
    </row>
    <row r="649" spans="1:13" ht="17.45" customHeight="1" x14ac:dyDescent="0.2">
      <c r="A649" s="141"/>
      <c r="B649" s="144" t="s">
        <v>43</v>
      </c>
      <c r="C649" s="254" t="s">
        <v>108</v>
      </c>
      <c r="D649" s="193"/>
      <c r="E649" s="253"/>
      <c r="F649" s="143" t="s">
        <v>113</v>
      </c>
      <c r="G649" s="479"/>
      <c r="H649" s="479"/>
      <c r="I649" s="145"/>
      <c r="J649" s="249">
        <v>44682</v>
      </c>
      <c r="K649" s="190"/>
      <c r="L649" s="137"/>
    </row>
    <row r="650" spans="1:13" ht="31.5" customHeight="1" x14ac:dyDescent="0.2">
      <c r="A650" s="141"/>
      <c r="B650" s="144" t="s">
        <v>4</v>
      </c>
      <c r="C650" s="480" t="s">
        <v>1248</v>
      </c>
      <c r="D650" s="480" t="e">
        <v>#N/A</v>
      </c>
      <c r="E650" s="480" t="e">
        <v>#N/A</v>
      </c>
      <c r="F650" s="480" t="e">
        <v>#N/A</v>
      </c>
      <c r="G650" s="480" t="e">
        <v>#N/A</v>
      </c>
      <c r="H650" s="480" t="e">
        <v>#N/A</v>
      </c>
      <c r="I650" s="480" t="e">
        <v>#N/A</v>
      </c>
      <c r="J650" s="481" t="e">
        <v>#N/A</v>
      </c>
      <c r="K650" s="185" t="s">
        <v>114</v>
      </c>
      <c r="L650" s="186" t="s">
        <v>89</v>
      </c>
      <c r="M650" s="187" t="s">
        <v>115</v>
      </c>
    </row>
    <row r="651" spans="1:13" ht="17.45" customHeight="1" x14ac:dyDescent="0.2">
      <c r="A651" s="140" t="s">
        <v>1284</v>
      </c>
      <c r="B651" s="146" t="s">
        <v>46</v>
      </c>
      <c r="C651" s="252" t="s">
        <v>1284</v>
      </c>
      <c r="D651" s="194" t="s">
        <v>45</v>
      </c>
      <c r="E651" s="482" t="s">
        <v>1307</v>
      </c>
      <c r="F651" s="482"/>
      <c r="G651" s="482"/>
      <c r="H651" s="483"/>
      <c r="I651" s="181" t="s">
        <v>116</v>
      </c>
      <c r="J651" s="183" t="s">
        <v>26</v>
      </c>
      <c r="K651" s="184">
        <v>1.52</v>
      </c>
      <c r="L651" s="188">
        <v>2613.19</v>
      </c>
      <c r="M651" s="189">
        <v>0</v>
      </c>
    </row>
    <row r="652" spans="1:13" ht="17.45" customHeight="1" x14ac:dyDescent="0.2">
      <c r="A652" s="148"/>
      <c r="B652" s="251"/>
      <c r="C652" s="179" t="s">
        <v>1247</v>
      </c>
      <c r="D652" s="484" t="s">
        <v>6</v>
      </c>
      <c r="E652" s="485"/>
      <c r="F652" s="485"/>
      <c r="G652" s="486"/>
      <c r="H652" s="485"/>
      <c r="I652" s="485"/>
      <c r="J652" s="487"/>
      <c r="K652" s="182"/>
    </row>
    <row r="653" spans="1:13" ht="15" customHeight="1" x14ac:dyDescent="0.2">
      <c r="A653" s="140"/>
      <c r="B653" s="150" t="s">
        <v>29</v>
      </c>
      <c r="C653" s="151" t="s">
        <v>66</v>
      </c>
      <c r="D653" s="195" t="s">
        <v>7</v>
      </c>
      <c r="E653" s="152" t="s">
        <v>30</v>
      </c>
      <c r="F653" s="152" t="s">
        <v>112</v>
      </c>
      <c r="G653" s="488" t="s">
        <v>110</v>
      </c>
      <c r="H653" s="489"/>
      <c r="I653" s="488" t="s">
        <v>111</v>
      </c>
      <c r="J653" s="490"/>
      <c r="K653" s="182"/>
    </row>
    <row r="654" spans="1:13" ht="25.5" x14ac:dyDescent="0.2">
      <c r="A654" s="140"/>
      <c r="B654" s="172" t="s">
        <v>100</v>
      </c>
      <c r="C654" s="154">
        <v>88274</v>
      </c>
      <c r="D654" s="191" t="s">
        <v>1304</v>
      </c>
      <c r="E654" s="155" t="s">
        <v>48</v>
      </c>
      <c r="F654" s="156"/>
      <c r="G654" s="428">
        <v>34.07</v>
      </c>
      <c r="H654" s="429" t="e">
        <v>#N/A</v>
      </c>
      <c r="I654" s="430">
        <v>0</v>
      </c>
      <c r="J654" s="431"/>
    </row>
    <row r="655" spans="1:13" x14ac:dyDescent="0.2">
      <c r="A655" s="140"/>
      <c r="B655" s="157" t="s">
        <v>100</v>
      </c>
      <c r="C655" s="158">
        <v>88316</v>
      </c>
      <c r="D655" s="196" t="s">
        <v>56</v>
      </c>
      <c r="E655" s="159" t="s">
        <v>48</v>
      </c>
      <c r="F655" s="160">
        <v>4.7429999999999993E-2</v>
      </c>
      <c r="G655" s="432">
        <v>32.119999999999997</v>
      </c>
      <c r="H655" s="433" t="e">
        <v>#N/A</v>
      </c>
      <c r="I655" s="434">
        <v>1.52</v>
      </c>
      <c r="J655" s="435"/>
    </row>
    <row r="656" spans="1:13" ht="17.45" customHeight="1" x14ac:dyDescent="0.2">
      <c r="A656" s="140"/>
      <c r="B656" s="161"/>
      <c r="C656" s="162"/>
      <c r="D656" s="197"/>
      <c r="E656" s="163"/>
      <c r="F656" s="163"/>
      <c r="G656" s="456"/>
      <c r="H656" s="457"/>
      <c r="I656" s="464"/>
      <c r="J656" s="465"/>
    </row>
    <row r="657" spans="1:10" ht="17.45" customHeight="1" x14ac:dyDescent="0.2">
      <c r="A657" s="136"/>
      <c r="B657" s="466" t="s">
        <v>44</v>
      </c>
      <c r="C657" s="467"/>
      <c r="D657" s="468"/>
      <c r="E657" s="468"/>
      <c r="F657" s="468"/>
      <c r="G657" s="468"/>
      <c r="H657" s="468"/>
      <c r="I657" s="469">
        <v>1.52</v>
      </c>
      <c r="J657" s="470"/>
    </row>
    <row r="658" spans="1:10" ht="17.45" customHeight="1" x14ac:dyDescent="0.2">
      <c r="A658" s="136"/>
      <c r="B658" s="466" t="s">
        <v>117</v>
      </c>
      <c r="C658" s="467"/>
      <c r="D658" s="468"/>
      <c r="E658" s="468"/>
      <c r="F658" s="164"/>
      <c r="G658" s="257"/>
      <c r="H658" s="255"/>
      <c r="I658" s="471">
        <v>0</v>
      </c>
      <c r="J658" s="472"/>
    </row>
    <row r="659" spans="1:10" ht="17.45" customHeight="1" x14ac:dyDescent="0.2">
      <c r="A659" s="136"/>
      <c r="B659" s="439" t="s">
        <v>8</v>
      </c>
      <c r="C659" s="440"/>
      <c r="D659" s="441"/>
      <c r="E659" s="441"/>
      <c r="F659" s="441"/>
      <c r="G659" s="441"/>
      <c r="H659" s="441"/>
      <c r="I659" s="473">
        <v>1.52</v>
      </c>
      <c r="J659" s="474"/>
    </row>
    <row r="660" spans="1:10" ht="17.45" customHeight="1" x14ac:dyDescent="0.2">
      <c r="A660" s="148"/>
      <c r="B660" s="256"/>
      <c r="C660" s="142"/>
      <c r="D660" s="475" t="s">
        <v>9</v>
      </c>
      <c r="E660" s="475"/>
      <c r="F660" s="460"/>
      <c r="G660" s="460"/>
      <c r="H660" s="460"/>
      <c r="I660" s="460"/>
      <c r="J660" s="461"/>
    </row>
    <row r="661" spans="1:10" ht="30" customHeight="1" x14ac:dyDescent="0.2">
      <c r="A661" s="140"/>
      <c r="B661" s="170" t="s">
        <v>29</v>
      </c>
      <c r="C661" s="151" t="s">
        <v>66</v>
      </c>
      <c r="D661" s="198" t="s">
        <v>7</v>
      </c>
      <c r="E661" s="171" t="s">
        <v>0</v>
      </c>
      <c r="F661" s="171" t="s">
        <v>10</v>
      </c>
      <c r="G661" s="462" t="s">
        <v>11</v>
      </c>
      <c r="H661" s="462"/>
      <c r="I661" s="462" t="s">
        <v>12</v>
      </c>
      <c r="J661" s="463"/>
    </row>
    <row r="662" spans="1:10" ht="51" x14ac:dyDescent="0.2">
      <c r="A662" s="140"/>
      <c r="B662" s="172" t="s">
        <v>2339</v>
      </c>
      <c r="C662" s="154" t="s">
        <v>1233</v>
      </c>
      <c r="D662" s="191" t="s">
        <v>1248</v>
      </c>
      <c r="E662" s="155" t="s">
        <v>26</v>
      </c>
      <c r="F662" s="156">
        <v>1</v>
      </c>
      <c r="G662" s="428">
        <v>2581.0393767177929</v>
      </c>
      <c r="H662" s="429" t="e">
        <v>#N/A</v>
      </c>
      <c r="I662" s="430">
        <v>2581.04</v>
      </c>
      <c r="J662" s="431"/>
    </row>
    <row r="663" spans="1:10" x14ac:dyDescent="0.2">
      <c r="A663" s="140"/>
      <c r="B663" s="157" t="s">
        <v>31</v>
      </c>
      <c r="C663" s="158">
        <v>34357</v>
      </c>
      <c r="D663" s="196" t="s">
        <v>1302</v>
      </c>
      <c r="E663" s="159" t="s">
        <v>102</v>
      </c>
      <c r="F663" s="160">
        <v>0.9225899999999998</v>
      </c>
      <c r="G663" s="432">
        <v>4.1100000000000003</v>
      </c>
      <c r="H663" s="433" t="e">
        <v>#N/A</v>
      </c>
      <c r="I663" s="434">
        <v>3.79</v>
      </c>
      <c r="J663" s="435"/>
    </row>
    <row r="664" spans="1:10" x14ac:dyDescent="0.2">
      <c r="A664" s="140"/>
      <c r="B664" s="157" t="s">
        <v>31</v>
      </c>
      <c r="C664" s="158">
        <v>37595</v>
      </c>
      <c r="D664" s="196" t="s">
        <v>1305</v>
      </c>
      <c r="E664" s="159" t="s">
        <v>1</v>
      </c>
      <c r="F664" s="160">
        <v>13.188599999999999</v>
      </c>
      <c r="G664" s="432">
        <v>2.15</v>
      </c>
      <c r="H664" s="433" t="e">
        <v>#N/A</v>
      </c>
      <c r="I664" s="434">
        <v>28.36</v>
      </c>
      <c r="J664" s="435"/>
    </row>
    <row r="665" spans="1:10" ht="17.45" customHeight="1" x14ac:dyDescent="0.2">
      <c r="A665" s="140"/>
      <c r="B665" s="175"/>
      <c r="C665" s="248"/>
      <c r="D665" s="199"/>
      <c r="E665" s="163"/>
      <c r="F665" s="163"/>
      <c r="G665" s="456"/>
      <c r="H665" s="457"/>
      <c r="I665" s="458"/>
      <c r="J665" s="459"/>
    </row>
    <row r="666" spans="1:10" ht="17.45" customHeight="1" x14ac:dyDescent="0.2">
      <c r="A666" s="136"/>
      <c r="B666" s="439" t="s">
        <v>13</v>
      </c>
      <c r="C666" s="440"/>
      <c r="D666" s="441"/>
      <c r="E666" s="441"/>
      <c r="F666" s="441"/>
      <c r="G666" s="441"/>
      <c r="H666" s="441"/>
      <c r="I666" s="446">
        <v>2613.19</v>
      </c>
      <c r="J666" s="447"/>
    </row>
    <row r="667" spans="1:10" ht="17.45" customHeight="1" x14ac:dyDescent="0.2">
      <c r="A667" s="148"/>
      <c r="B667" s="251"/>
      <c r="C667" s="252"/>
      <c r="D667" s="460" t="s">
        <v>14</v>
      </c>
      <c r="E667" s="460"/>
      <c r="F667" s="460"/>
      <c r="G667" s="460"/>
      <c r="H667" s="460"/>
      <c r="I667" s="460"/>
      <c r="J667" s="461"/>
    </row>
    <row r="668" spans="1:10" ht="30" customHeight="1" x14ac:dyDescent="0.2">
      <c r="A668" s="140"/>
      <c r="B668" s="170" t="s">
        <v>29</v>
      </c>
      <c r="C668" s="176"/>
      <c r="D668" s="198" t="s">
        <v>7</v>
      </c>
      <c r="E668" s="171" t="s">
        <v>0</v>
      </c>
      <c r="F668" s="171" t="s">
        <v>10</v>
      </c>
      <c r="G668" s="462" t="s">
        <v>11</v>
      </c>
      <c r="H668" s="462"/>
      <c r="I668" s="462" t="s">
        <v>12</v>
      </c>
      <c r="J668" s="463"/>
    </row>
    <row r="669" spans="1:10" x14ac:dyDescent="0.2">
      <c r="A669" s="140"/>
      <c r="B669" s="153"/>
      <c r="C669" s="154"/>
      <c r="D669" s="191"/>
      <c r="E669" s="155"/>
      <c r="F669" s="156"/>
      <c r="G669" s="428"/>
      <c r="H669" s="429"/>
      <c r="I669" s="430"/>
      <c r="J669" s="431"/>
    </row>
    <row r="670" spans="1:10" x14ac:dyDescent="0.2">
      <c r="A670" s="140"/>
      <c r="B670" s="157"/>
      <c r="C670" s="158"/>
      <c r="D670" s="196"/>
      <c r="E670" s="159"/>
      <c r="F670" s="160"/>
      <c r="G670" s="432"/>
      <c r="H670" s="433"/>
      <c r="I670" s="434"/>
      <c r="J670" s="435"/>
    </row>
    <row r="671" spans="1:10" ht="17.45" customHeight="1" x14ac:dyDescent="0.2">
      <c r="A671" s="140"/>
      <c r="B671" s="175"/>
      <c r="C671" s="162"/>
      <c r="D671" s="199"/>
      <c r="E671" s="163"/>
      <c r="F671" s="177"/>
      <c r="G671" s="436"/>
      <c r="H671" s="437"/>
      <c r="I671" s="436"/>
      <c r="J671" s="438"/>
    </row>
    <row r="672" spans="1:10" ht="17.45" customHeight="1" x14ac:dyDescent="0.2">
      <c r="A672" s="136"/>
      <c r="B672" s="439" t="s">
        <v>15</v>
      </c>
      <c r="C672" s="440"/>
      <c r="D672" s="441"/>
      <c r="E672" s="441"/>
      <c r="F672" s="441"/>
      <c r="G672" s="441"/>
      <c r="H672" s="441"/>
      <c r="I672" s="442">
        <v>0</v>
      </c>
      <c r="J672" s="443"/>
    </row>
    <row r="673" spans="1:13" ht="17.45" customHeight="1" x14ac:dyDescent="0.2">
      <c r="A673" s="136"/>
      <c r="B673" s="439" t="s">
        <v>16</v>
      </c>
      <c r="C673" s="440"/>
      <c r="D673" s="441"/>
      <c r="E673" s="441"/>
      <c r="F673" s="441"/>
      <c r="G673" s="441"/>
      <c r="H673" s="441"/>
      <c r="I673" s="444">
        <v>2614.71</v>
      </c>
      <c r="J673" s="445"/>
    </row>
    <row r="674" spans="1:13" ht="17.45" customHeight="1" x14ac:dyDescent="0.2">
      <c r="A674" s="140"/>
      <c r="B674" s="178"/>
      <c r="C674" s="179"/>
      <c r="D674" s="193" t="s">
        <v>17</v>
      </c>
      <c r="E674" s="180"/>
      <c r="F674" s="164">
        <v>0</v>
      </c>
      <c r="G674" s="253"/>
      <c r="H674" s="253"/>
      <c r="I674" s="446">
        <v>0</v>
      </c>
      <c r="J674" s="447"/>
    </row>
    <row r="675" spans="1:13" ht="17.45" customHeight="1" x14ac:dyDescent="0.2">
      <c r="A675" s="136"/>
      <c r="B675" s="439" t="s">
        <v>18</v>
      </c>
      <c r="C675" s="440"/>
      <c r="D675" s="441"/>
      <c r="E675" s="441"/>
      <c r="F675" s="441"/>
      <c r="G675" s="441"/>
      <c r="H675" s="441"/>
      <c r="I675" s="448">
        <v>2614.71</v>
      </c>
      <c r="J675" s="449"/>
    </row>
    <row r="676" spans="1:13" ht="17.45" customHeight="1" x14ac:dyDescent="0.2">
      <c r="A676" s="141"/>
      <c r="B676" s="450" t="s">
        <v>1308</v>
      </c>
      <c r="C676" s="451"/>
      <c r="D676" s="451"/>
      <c r="E676" s="451"/>
      <c r="F676" s="451"/>
      <c r="G676" s="451"/>
      <c r="H676" s="451"/>
      <c r="I676" s="451"/>
      <c r="J676" s="452"/>
    </row>
    <row r="677" spans="1:13" ht="17.45" customHeight="1" thickBot="1" x14ac:dyDescent="0.25">
      <c r="A677" s="140"/>
      <c r="B677" s="453"/>
      <c r="C677" s="454"/>
      <c r="D677" s="454"/>
      <c r="E677" s="454"/>
      <c r="F677" s="454"/>
      <c r="G677" s="454"/>
      <c r="H677" s="454"/>
      <c r="I677" s="454"/>
      <c r="J677" s="455"/>
    </row>
    <row r="678" spans="1:13" ht="13.5" thickBot="1" x14ac:dyDescent="0.25"/>
    <row r="679" spans="1:13" ht="17.45" customHeight="1" x14ac:dyDescent="0.2">
      <c r="A679" s="136"/>
      <c r="B679" s="476" t="s">
        <v>25</v>
      </c>
      <c r="C679" s="477"/>
      <c r="D679" s="477"/>
      <c r="E679" s="477"/>
      <c r="F679" s="477"/>
      <c r="G679" s="477"/>
      <c r="H679" s="477"/>
      <c r="I679" s="477"/>
      <c r="J679" s="478"/>
      <c r="K679" s="190"/>
      <c r="L679" s="137"/>
    </row>
    <row r="680" spans="1:13" ht="17.45" customHeight="1" x14ac:dyDescent="0.2">
      <c r="A680" s="141"/>
      <c r="B680" s="144" t="s">
        <v>43</v>
      </c>
      <c r="C680" s="254" t="s">
        <v>108</v>
      </c>
      <c r="D680" s="193"/>
      <c r="E680" s="253"/>
      <c r="F680" s="143" t="s">
        <v>113</v>
      </c>
      <c r="G680" s="479"/>
      <c r="H680" s="479"/>
      <c r="I680" s="145"/>
      <c r="J680" s="249">
        <v>44682</v>
      </c>
      <c r="K680" s="190"/>
      <c r="L680" s="137"/>
    </row>
    <row r="681" spans="1:13" ht="31.5" customHeight="1" x14ac:dyDescent="0.2">
      <c r="A681" s="141"/>
      <c r="B681" s="144" t="s">
        <v>4</v>
      </c>
      <c r="C681" s="480" t="s">
        <v>1249</v>
      </c>
      <c r="D681" s="480" t="e">
        <v>#N/A</v>
      </c>
      <c r="E681" s="480" t="e">
        <v>#N/A</v>
      </c>
      <c r="F681" s="480" t="e">
        <v>#N/A</v>
      </c>
      <c r="G681" s="480" t="e">
        <v>#N/A</v>
      </c>
      <c r="H681" s="480" t="e">
        <v>#N/A</v>
      </c>
      <c r="I681" s="480" t="e">
        <v>#N/A</v>
      </c>
      <c r="J681" s="481" t="e">
        <v>#N/A</v>
      </c>
      <c r="K681" s="185" t="s">
        <v>114</v>
      </c>
      <c r="L681" s="186" t="s">
        <v>89</v>
      </c>
      <c r="M681" s="187" t="s">
        <v>115</v>
      </c>
    </row>
    <row r="682" spans="1:13" ht="17.45" customHeight="1" x14ac:dyDescent="0.2">
      <c r="A682" s="140" t="s">
        <v>1285</v>
      </c>
      <c r="B682" s="146" t="s">
        <v>46</v>
      </c>
      <c r="C682" s="252" t="s">
        <v>1285</v>
      </c>
      <c r="D682" s="194" t="s">
        <v>45</v>
      </c>
      <c r="E682" s="482" t="s">
        <v>1307</v>
      </c>
      <c r="F682" s="482"/>
      <c r="G682" s="482"/>
      <c r="H682" s="483"/>
      <c r="I682" s="181" t="s">
        <v>116</v>
      </c>
      <c r="J682" s="183" t="s">
        <v>26</v>
      </c>
      <c r="K682" s="184">
        <v>1.58</v>
      </c>
      <c r="L682" s="188">
        <v>2658.43</v>
      </c>
      <c r="M682" s="189">
        <v>0</v>
      </c>
    </row>
    <row r="683" spans="1:13" ht="17.45" customHeight="1" x14ac:dyDescent="0.2">
      <c r="A683" s="148"/>
      <c r="B683" s="251"/>
      <c r="C683" s="179" t="s">
        <v>1247</v>
      </c>
      <c r="D683" s="484" t="s">
        <v>6</v>
      </c>
      <c r="E683" s="485"/>
      <c r="F683" s="485"/>
      <c r="G683" s="486"/>
      <c r="H683" s="485"/>
      <c r="I683" s="485"/>
      <c r="J683" s="487"/>
      <c r="K683" s="182"/>
    </row>
    <row r="684" spans="1:13" ht="15" customHeight="1" x14ac:dyDescent="0.2">
      <c r="A684" s="140"/>
      <c r="B684" s="150" t="s">
        <v>29</v>
      </c>
      <c r="C684" s="151" t="s">
        <v>66</v>
      </c>
      <c r="D684" s="195" t="s">
        <v>7</v>
      </c>
      <c r="E684" s="152" t="s">
        <v>30</v>
      </c>
      <c r="F684" s="152" t="s">
        <v>112</v>
      </c>
      <c r="G684" s="488" t="s">
        <v>110</v>
      </c>
      <c r="H684" s="489"/>
      <c r="I684" s="488" t="s">
        <v>111</v>
      </c>
      <c r="J684" s="490"/>
      <c r="K684" s="182"/>
    </row>
    <row r="685" spans="1:13" ht="25.5" x14ac:dyDescent="0.2">
      <c r="A685" s="140"/>
      <c r="B685" s="172" t="s">
        <v>100</v>
      </c>
      <c r="C685" s="154">
        <v>88274</v>
      </c>
      <c r="D685" s="191" t="s">
        <v>1304</v>
      </c>
      <c r="E685" s="155" t="s">
        <v>48</v>
      </c>
      <c r="F685" s="156"/>
      <c r="G685" s="428">
        <v>34.07</v>
      </c>
      <c r="H685" s="429" t="e">
        <v>#N/A</v>
      </c>
      <c r="I685" s="430">
        <v>0</v>
      </c>
      <c r="J685" s="431"/>
    </row>
    <row r="686" spans="1:13" x14ac:dyDescent="0.2">
      <c r="A686" s="140"/>
      <c r="B686" s="157" t="s">
        <v>100</v>
      </c>
      <c r="C686" s="158">
        <v>88316</v>
      </c>
      <c r="D686" s="196" t="s">
        <v>56</v>
      </c>
      <c r="E686" s="159" t="s">
        <v>48</v>
      </c>
      <c r="F686" s="160">
        <v>4.9289999999999994E-2</v>
      </c>
      <c r="G686" s="432">
        <v>32.119999999999997</v>
      </c>
      <c r="H686" s="433" t="e">
        <v>#N/A</v>
      </c>
      <c r="I686" s="434">
        <v>1.58</v>
      </c>
      <c r="J686" s="435"/>
    </row>
    <row r="687" spans="1:13" ht="17.45" customHeight="1" x14ac:dyDescent="0.2">
      <c r="A687" s="140"/>
      <c r="B687" s="161"/>
      <c r="C687" s="162"/>
      <c r="D687" s="197"/>
      <c r="E687" s="163"/>
      <c r="F687" s="163"/>
      <c r="G687" s="456"/>
      <c r="H687" s="457"/>
      <c r="I687" s="464"/>
      <c r="J687" s="465"/>
    </row>
    <row r="688" spans="1:13" ht="17.45" customHeight="1" x14ac:dyDescent="0.2">
      <c r="A688" s="136"/>
      <c r="B688" s="466" t="s">
        <v>44</v>
      </c>
      <c r="C688" s="467"/>
      <c r="D688" s="468"/>
      <c r="E688" s="468"/>
      <c r="F688" s="468"/>
      <c r="G688" s="468"/>
      <c r="H688" s="468"/>
      <c r="I688" s="469">
        <v>1.58</v>
      </c>
      <c r="J688" s="470"/>
    </row>
    <row r="689" spans="1:10" ht="17.45" customHeight="1" x14ac:dyDescent="0.2">
      <c r="A689" s="136"/>
      <c r="B689" s="466" t="s">
        <v>117</v>
      </c>
      <c r="C689" s="467"/>
      <c r="D689" s="468"/>
      <c r="E689" s="468"/>
      <c r="F689" s="164"/>
      <c r="G689" s="257"/>
      <c r="H689" s="255"/>
      <c r="I689" s="471">
        <v>0</v>
      </c>
      <c r="J689" s="472"/>
    </row>
    <row r="690" spans="1:10" ht="17.45" customHeight="1" x14ac:dyDescent="0.2">
      <c r="A690" s="136"/>
      <c r="B690" s="439" t="s">
        <v>8</v>
      </c>
      <c r="C690" s="440"/>
      <c r="D690" s="441"/>
      <c r="E690" s="441"/>
      <c r="F690" s="441"/>
      <c r="G690" s="441"/>
      <c r="H690" s="441"/>
      <c r="I690" s="473">
        <v>1.58</v>
      </c>
      <c r="J690" s="474"/>
    </row>
    <row r="691" spans="1:10" ht="17.45" customHeight="1" x14ac:dyDescent="0.2">
      <c r="A691" s="148"/>
      <c r="B691" s="256"/>
      <c r="C691" s="142"/>
      <c r="D691" s="475" t="s">
        <v>9</v>
      </c>
      <c r="E691" s="475"/>
      <c r="F691" s="460"/>
      <c r="G691" s="460"/>
      <c r="H691" s="460"/>
      <c r="I691" s="460"/>
      <c r="J691" s="461"/>
    </row>
    <row r="692" spans="1:10" ht="30" customHeight="1" x14ac:dyDescent="0.2">
      <c r="A692" s="140"/>
      <c r="B692" s="170" t="s">
        <v>29</v>
      </c>
      <c r="C692" s="151" t="s">
        <v>66</v>
      </c>
      <c r="D692" s="198" t="s">
        <v>7</v>
      </c>
      <c r="E692" s="171" t="s">
        <v>0</v>
      </c>
      <c r="F692" s="171" t="s">
        <v>10</v>
      </c>
      <c r="G692" s="462" t="s">
        <v>11</v>
      </c>
      <c r="H692" s="462"/>
      <c r="I692" s="462" t="s">
        <v>12</v>
      </c>
      <c r="J692" s="463"/>
    </row>
    <row r="693" spans="1:10" ht="51" x14ac:dyDescent="0.2">
      <c r="A693" s="140"/>
      <c r="B693" s="172" t="s">
        <v>2339</v>
      </c>
      <c r="C693" s="154" t="s">
        <v>1234</v>
      </c>
      <c r="D693" s="191" t="s">
        <v>1249</v>
      </c>
      <c r="E693" s="155" t="s">
        <v>26</v>
      </c>
      <c r="F693" s="156">
        <v>1</v>
      </c>
      <c r="G693" s="428">
        <v>2625.0179150751351</v>
      </c>
      <c r="H693" s="429" t="e">
        <v>#N/A</v>
      </c>
      <c r="I693" s="430">
        <v>2625.02</v>
      </c>
      <c r="J693" s="431"/>
    </row>
    <row r="694" spans="1:10" x14ac:dyDescent="0.2">
      <c r="A694" s="140"/>
      <c r="B694" s="157" t="s">
        <v>31</v>
      </c>
      <c r="C694" s="158">
        <v>34357</v>
      </c>
      <c r="D694" s="196" t="s">
        <v>1302</v>
      </c>
      <c r="E694" s="159" t="s">
        <v>102</v>
      </c>
      <c r="F694" s="160">
        <v>0.9587699999999999</v>
      </c>
      <c r="G694" s="432">
        <v>4.1100000000000003</v>
      </c>
      <c r="H694" s="433" t="e">
        <v>#N/A</v>
      </c>
      <c r="I694" s="434">
        <v>3.94</v>
      </c>
      <c r="J694" s="435"/>
    </row>
    <row r="695" spans="1:10" x14ac:dyDescent="0.2">
      <c r="A695" s="140"/>
      <c r="B695" s="157" t="s">
        <v>31</v>
      </c>
      <c r="C695" s="158">
        <v>37595</v>
      </c>
      <c r="D695" s="196" t="s">
        <v>1305</v>
      </c>
      <c r="E695" s="159" t="s">
        <v>1</v>
      </c>
      <c r="F695" s="160">
        <v>13.705799999999998</v>
      </c>
      <c r="G695" s="432">
        <v>2.15</v>
      </c>
      <c r="H695" s="433" t="e">
        <v>#N/A</v>
      </c>
      <c r="I695" s="434">
        <v>29.47</v>
      </c>
      <c r="J695" s="435"/>
    </row>
    <row r="696" spans="1:10" ht="17.45" customHeight="1" x14ac:dyDescent="0.2">
      <c r="A696" s="140"/>
      <c r="B696" s="175"/>
      <c r="C696" s="248"/>
      <c r="D696" s="199"/>
      <c r="E696" s="163"/>
      <c r="F696" s="163"/>
      <c r="G696" s="456"/>
      <c r="H696" s="457"/>
      <c r="I696" s="458"/>
      <c r="J696" s="459"/>
    </row>
    <row r="697" spans="1:10" ht="17.45" customHeight="1" x14ac:dyDescent="0.2">
      <c r="A697" s="136"/>
      <c r="B697" s="439" t="s">
        <v>13</v>
      </c>
      <c r="C697" s="440"/>
      <c r="D697" s="441"/>
      <c r="E697" s="441"/>
      <c r="F697" s="441"/>
      <c r="G697" s="441"/>
      <c r="H697" s="441"/>
      <c r="I697" s="446">
        <v>2658.43</v>
      </c>
      <c r="J697" s="447"/>
    </row>
    <row r="698" spans="1:10" ht="17.45" customHeight="1" x14ac:dyDescent="0.2">
      <c r="A698" s="148"/>
      <c r="B698" s="251"/>
      <c r="C698" s="252"/>
      <c r="D698" s="460" t="s">
        <v>14</v>
      </c>
      <c r="E698" s="460"/>
      <c r="F698" s="460"/>
      <c r="G698" s="460"/>
      <c r="H698" s="460"/>
      <c r="I698" s="460"/>
      <c r="J698" s="461"/>
    </row>
    <row r="699" spans="1:10" ht="30" customHeight="1" x14ac:dyDescent="0.2">
      <c r="A699" s="140"/>
      <c r="B699" s="170" t="s">
        <v>29</v>
      </c>
      <c r="C699" s="176"/>
      <c r="D699" s="198" t="s">
        <v>7</v>
      </c>
      <c r="E699" s="171" t="s">
        <v>0</v>
      </c>
      <c r="F699" s="171" t="s">
        <v>10</v>
      </c>
      <c r="G699" s="462" t="s">
        <v>11</v>
      </c>
      <c r="H699" s="462"/>
      <c r="I699" s="462" t="s">
        <v>12</v>
      </c>
      <c r="J699" s="463"/>
    </row>
    <row r="700" spans="1:10" x14ac:dyDescent="0.2">
      <c r="A700" s="140"/>
      <c r="B700" s="153"/>
      <c r="C700" s="154"/>
      <c r="D700" s="191"/>
      <c r="E700" s="155"/>
      <c r="F700" s="156"/>
      <c r="G700" s="428"/>
      <c r="H700" s="429"/>
      <c r="I700" s="430"/>
      <c r="J700" s="431"/>
    </row>
    <row r="701" spans="1:10" x14ac:dyDescent="0.2">
      <c r="A701" s="140"/>
      <c r="B701" s="157"/>
      <c r="C701" s="158"/>
      <c r="D701" s="196"/>
      <c r="E701" s="159"/>
      <c r="F701" s="160"/>
      <c r="G701" s="432"/>
      <c r="H701" s="433"/>
      <c r="I701" s="434"/>
      <c r="J701" s="435"/>
    </row>
    <row r="702" spans="1:10" ht="17.45" customHeight="1" x14ac:dyDescent="0.2">
      <c r="A702" s="140"/>
      <c r="B702" s="175"/>
      <c r="C702" s="162"/>
      <c r="D702" s="199"/>
      <c r="E702" s="163"/>
      <c r="F702" s="177"/>
      <c r="G702" s="436"/>
      <c r="H702" s="437"/>
      <c r="I702" s="436"/>
      <c r="J702" s="438"/>
    </row>
    <row r="703" spans="1:10" ht="17.45" customHeight="1" x14ac:dyDescent="0.2">
      <c r="A703" s="136"/>
      <c r="B703" s="439" t="s">
        <v>15</v>
      </c>
      <c r="C703" s="440"/>
      <c r="D703" s="441"/>
      <c r="E703" s="441"/>
      <c r="F703" s="441"/>
      <c r="G703" s="441"/>
      <c r="H703" s="441"/>
      <c r="I703" s="442">
        <v>0</v>
      </c>
      <c r="J703" s="443"/>
    </row>
    <row r="704" spans="1:10" ht="17.45" customHeight="1" x14ac:dyDescent="0.2">
      <c r="A704" s="136"/>
      <c r="B704" s="439" t="s">
        <v>16</v>
      </c>
      <c r="C704" s="440"/>
      <c r="D704" s="441"/>
      <c r="E704" s="441"/>
      <c r="F704" s="441"/>
      <c r="G704" s="441"/>
      <c r="H704" s="441"/>
      <c r="I704" s="444">
        <v>2660.0099999999998</v>
      </c>
      <c r="J704" s="445"/>
    </row>
    <row r="705" spans="1:13" ht="17.45" customHeight="1" x14ac:dyDescent="0.2">
      <c r="A705" s="140"/>
      <c r="B705" s="178"/>
      <c r="C705" s="179"/>
      <c r="D705" s="193" t="s">
        <v>17</v>
      </c>
      <c r="E705" s="180"/>
      <c r="F705" s="164">
        <v>0</v>
      </c>
      <c r="G705" s="253"/>
      <c r="H705" s="253"/>
      <c r="I705" s="446">
        <v>0</v>
      </c>
      <c r="J705" s="447"/>
    </row>
    <row r="706" spans="1:13" ht="17.45" customHeight="1" x14ac:dyDescent="0.2">
      <c r="A706" s="136"/>
      <c r="B706" s="439" t="s">
        <v>18</v>
      </c>
      <c r="C706" s="440"/>
      <c r="D706" s="441"/>
      <c r="E706" s="441"/>
      <c r="F706" s="441"/>
      <c r="G706" s="441"/>
      <c r="H706" s="441"/>
      <c r="I706" s="448">
        <v>2660.0099999999998</v>
      </c>
      <c r="J706" s="449"/>
    </row>
    <row r="707" spans="1:13" ht="17.45" customHeight="1" x14ac:dyDescent="0.2">
      <c r="A707" s="141"/>
      <c r="B707" s="450" t="s">
        <v>1308</v>
      </c>
      <c r="C707" s="451"/>
      <c r="D707" s="451"/>
      <c r="E707" s="451"/>
      <c r="F707" s="451"/>
      <c r="G707" s="451"/>
      <c r="H707" s="451"/>
      <c r="I707" s="451"/>
      <c r="J707" s="452"/>
    </row>
    <row r="708" spans="1:13" ht="17.45" customHeight="1" thickBot="1" x14ac:dyDescent="0.25">
      <c r="A708" s="140"/>
      <c r="B708" s="453"/>
      <c r="C708" s="454"/>
      <c r="D708" s="454"/>
      <c r="E708" s="454"/>
      <c r="F708" s="454"/>
      <c r="G708" s="454"/>
      <c r="H708" s="454"/>
      <c r="I708" s="454"/>
      <c r="J708" s="455"/>
    </row>
    <row r="709" spans="1:13" ht="13.5" thickBot="1" x14ac:dyDescent="0.25"/>
    <row r="710" spans="1:13" ht="17.45" customHeight="1" x14ac:dyDescent="0.2">
      <c r="A710" s="136"/>
      <c r="B710" s="476" t="s">
        <v>25</v>
      </c>
      <c r="C710" s="477"/>
      <c r="D710" s="477"/>
      <c r="E710" s="477"/>
      <c r="F710" s="477"/>
      <c r="G710" s="477"/>
      <c r="H710" s="477"/>
      <c r="I710" s="477"/>
      <c r="J710" s="478"/>
      <c r="K710" s="190"/>
      <c r="L710" s="137"/>
    </row>
    <row r="711" spans="1:13" ht="17.45" customHeight="1" x14ac:dyDescent="0.2">
      <c r="A711" s="141"/>
      <c r="B711" s="144" t="s">
        <v>43</v>
      </c>
      <c r="C711" s="254" t="s">
        <v>108</v>
      </c>
      <c r="D711" s="193"/>
      <c r="E711" s="253"/>
      <c r="F711" s="143" t="s">
        <v>113</v>
      </c>
      <c r="G711" s="479"/>
      <c r="H711" s="479"/>
      <c r="I711" s="145"/>
      <c r="J711" s="249">
        <v>44682</v>
      </c>
      <c r="K711" s="190"/>
      <c r="L711" s="137"/>
    </row>
    <row r="712" spans="1:13" ht="31.5" customHeight="1" x14ac:dyDescent="0.2">
      <c r="A712" s="141"/>
      <c r="B712" s="144" t="s">
        <v>4</v>
      </c>
      <c r="C712" s="480" t="s">
        <v>1259</v>
      </c>
      <c r="D712" s="480" t="e">
        <v>#N/A</v>
      </c>
      <c r="E712" s="480" t="e">
        <v>#N/A</v>
      </c>
      <c r="F712" s="480" t="e">
        <v>#N/A</v>
      </c>
      <c r="G712" s="480" t="e">
        <v>#N/A</v>
      </c>
      <c r="H712" s="480" t="e">
        <v>#N/A</v>
      </c>
      <c r="I712" s="480" t="e">
        <v>#N/A</v>
      </c>
      <c r="J712" s="481" t="e">
        <v>#N/A</v>
      </c>
      <c r="K712" s="185" t="s">
        <v>114</v>
      </c>
      <c r="L712" s="186" t="s">
        <v>89</v>
      </c>
      <c r="M712" s="187" t="s">
        <v>115</v>
      </c>
    </row>
    <row r="713" spans="1:13" ht="17.45" customHeight="1" x14ac:dyDescent="0.2">
      <c r="A713" s="140" t="s">
        <v>1286</v>
      </c>
      <c r="B713" s="146" t="s">
        <v>46</v>
      </c>
      <c r="C713" s="252" t="s">
        <v>1286</v>
      </c>
      <c r="D713" s="194" t="s">
        <v>45</v>
      </c>
      <c r="E713" s="482" t="s">
        <v>1310</v>
      </c>
      <c r="F713" s="482"/>
      <c r="G713" s="482"/>
      <c r="H713" s="483"/>
      <c r="I713" s="181" t="s">
        <v>116</v>
      </c>
      <c r="J713" s="183" t="s">
        <v>3</v>
      </c>
      <c r="K713" s="184">
        <v>0</v>
      </c>
      <c r="L713" s="188">
        <v>4131.84</v>
      </c>
      <c r="M713" s="189">
        <v>0</v>
      </c>
    </row>
    <row r="714" spans="1:13" ht="17.45" customHeight="1" x14ac:dyDescent="0.2">
      <c r="A714" s="148"/>
      <c r="B714" s="251"/>
      <c r="C714" s="179" t="s">
        <v>1247</v>
      </c>
      <c r="D714" s="484" t="s">
        <v>6</v>
      </c>
      <c r="E714" s="485"/>
      <c r="F714" s="485"/>
      <c r="G714" s="486"/>
      <c r="H714" s="485"/>
      <c r="I714" s="485"/>
      <c r="J714" s="487"/>
      <c r="K714" s="182"/>
    </row>
    <row r="715" spans="1:13" ht="15" customHeight="1" x14ac:dyDescent="0.2">
      <c r="A715" s="140"/>
      <c r="B715" s="150" t="s">
        <v>29</v>
      </c>
      <c r="C715" s="151" t="s">
        <v>66</v>
      </c>
      <c r="D715" s="195" t="s">
        <v>7</v>
      </c>
      <c r="E715" s="152" t="s">
        <v>30</v>
      </c>
      <c r="F715" s="152" t="s">
        <v>112</v>
      </c>
      <c r="G715" s="488" t="s">
        <v>110</v>
      </c>
      <c r="H715" s="489"/>
      <c r="I715" s="488" t="s">
        <v>111</v>
      </c>
      <c r="J715" s="490"/>
      <c r="K715" s="182"/>
    </row>
    <row r="716" spans="1:13" ht="25.5" x14ac:dyDescent="0.2">
      <c r="A716" s="140"/>
      <c r="B716" s="172" t="s">
        <v>100</v>
      </c>
      <c r="C716" s="154">
        <v>88274</v>
      </c>
      <c r="D716" s="191" t="s">
        <v>1304</v>
      </c>
      <c r="E716" s="155" t="s">
        <v>48</v>
      </c>
      <c r="F716" s="156"/>
      <c r="G716" s="428">
        <v>34.07</v>
      </c>
      <c r="H716" s="429" t="e">
        <v>#N/A</v>
      </c>
      <c r="I716" s="430">
        <v>0</v>
      </c>
      <c r="J716" s="431"/>
    </row>
    <row r="717" spans="1:13" x14ac:dyDescent="0.2">
      <c r="A717" s="140"/>
      <c r="B717" s="157" t="s">
        <v>100</v>
      </c>
      <c r="C717" s="158">
        <v>88316</v>
      </c>
      <c r="D717" s="196" t="s">
        <v>56</v>
      </c>
      <c r="E717" s="159" t="s">
        <v>48</v>
      </c>
      <c r="F717" s="160"/>
      <c r="G717" s="432">
        <v>32.119999999999997</v>
      </c>
      <c r="H717" s="433" t="e">
        <v>#N/A</v>
      </c>
      <c r="I717" s="434">
        <v>0</v>
      </c>
      <c r="J717" s="435"/>
    </row>
    <row r="718" spans="1:13" ht="17.45" customHeight="1" x14ac:dyDescent="0.2">
      <c r="A718" s="140"/>
      <c r="B718" s="161"/>
      <c r="C718" s="162"/>
      <c r="D718" s="197"/>
      <c r="E718" s="163"/>
      <c r="F718" s="163"/>
      <c r="G718" s="456"/>
      <c r="H718" s="457"/>
      <c r="I718" s="464"/>
      <c r="J718" s="465"/>
    </row>
    <row r="719" spans="1:13" ht="17.45" customHeight="1" x14ac:dyDescent="0.2">
      <c r="A719" s="136"/>
      <c r="B719" s="466" t="s">
        <v>44</v>
      </c>
      <c r="C719" s="467"/>
      <c r="D719" s="468"/>
      <c r="E719" s="468"/>
      <c r="F719" s="468"/>
      <c r="G719" s="468"/>
      <c r="H719" s="468"/>
      <c r="I719" s="469">
        <v>0</v>
      </c>
      <c r="J719" s="470"/>
    </row>
    <row r="720" spans="1:13" ht="17.45" customHeight="1" x14ac:dyDescent="0.2">
      <c r="A720" s="136"/>
      <c r="B720" s="466" t="s">
        <v>117</v>
      </c>
      <c r="C720" s="467"/>
      <c r="D720" s="468"/>
      <c r="E720" s="468"/>
      <c r="F720" s="164"/>
      <c r="G720" s="257"/>
      <c r="H720" s="255"/>
      <c r="I720" s="471">
        <v>0</v>
      </c>
      <c r="J720" s="472"/>
    </row>
    <row r="721" spans="1:10" ht="17.45" customHeight="1" x14ac:dyDescent="0.2">
      <c r="A721" s="136"/>
      <c r="B721" s="439" t="s">
        <v>8</v>
      </c>
      <c r="C721" s="440"/>
      <c r="D721" s="441"/>
      <c r="E721" s="441"/>
      <c r="F721" s="441"/>
      <c r="G721" s="441"/>
      <c r="H721" s="441"/>
      <c r="I721" s="473">
        <v>0</v>
      </c>
      <c r="J721" s="474"/>
    </row>
    <row r="722" spans="1:10" ht="17.45" customHeight="1" x14ac:dyDescent="0.2">
      <c r="A722" s="148"/>
      <c r="B722" s="256"/>
      <c r="C722" s="142"/>
      <c r="D722" s="475" t="s">
        <v>9</v>
      </c>
      <c r="E722" s="475"/>
      <c r="F722" s="460"/>
      <c r="G722" s="460"/>
      <c r="H722" s="460"/>
      <c r="I722" s="460"/>
      <c r="J722" s="461"/>
    </row>
    <row r="723" spans="1:10" ht="30" customHeight="1" x14ac:dyDescent="0.2">
      <c r="A723" s="140"/>
      <c r="B723" s="170" t="s">
        <v>29</v>
      </c>
      <c r="C723" s="151" t="s">
        <v>66</v>
      </c>
      <c r="D723" s="198" t="s">
        <v>7</v>
      </c>
      <c r="E723" s="171" t="s">
        <v>0</v>
      </c>
      <c r="F723" s="171" t="s">
        <v>10</v>
      </c>
      <c r="G723" s="462" t="s">
        <v>11</v>
      </c>
      <c r="H723" s="462"/>
      <c r="I723" s="462" t="s">
        <v>12</v>
      </c>
      <c r="J723" s="463"/>
    </row>
    <row r="724" spans="1:10" ht="51" x14ac:dyDescent="0.2">
      <c r="A724" s="140"/>
      <c r="B724" s="172" t="s">
        <v>2339</v>
      </c>
      <c r="C724" s="154" t="s">
        <v>1235</v>
      </c>
      <c r="D724" s="191" t="s">
        <v>1259</v>
      </c>
      <c r="E724" s="155" t="s">
        <v>3</v>
      </c>
      <c r="F724" s="156">
        <v>1</v>
      </c>
      <c r="G724" s="428">
        <v>4114.4166186507937</v>
      </c>
      <c r="H724" s="429" t="e">
        <v>#N/A</v>
      </c>
      <c r="I724" s="430">
        <v>4114.42</v>
      </c>
      <c r="J724" s="431"/>
    </row>
    <row r="725" spans="1:10" x14ac:dyDescent="0.2">
      <c r="A725" s="140"/>
      <c r="B725" s="157" t="s">
        <v>31</v>
      </c>
      <c r="C725" s="158">
        <v>1379</v>
      </c>
      <c r="D725" s="196" t="s">
        <v>1173</v>
      </c>
      <c r="E725" s="159" t="s">
        <v>1</v>
      </c>
      <c r="F725" s="160">
        <v>7.1759999999999993</v>
      </c>
      <c r="G725" s="432">
        <v>0.66</v>
      </c>
      <c r="H725" s="433" t="e">
        <v>#N/A</v>
      </c>
      <c r="I725" s="434">
        <v>4.74</v>
      </c>
      <c r="J725" s="435"/>
    </row>
    <row r="726" spans="1:10" x14ac:dyDescent="0.2">
      <c r="A726" s="140"/>
      <c r="B726" s="157" t="s">
        <v>31</v>
      </c>
      <c r="C726" s="158">
        <v>1380</v>
      </c>
      <c r="D726" s="196" t="s">
        <v>1311</v>
      </c>
      <c r="E726" s="159" t="s">
        <v>1</v>
      </c>
      <c r="F726" s="160">
        <v>2.8392000000000004</v>
      </c>
      <c r="G726" s="432">
        <v>4.41</v>
      </c>
      <c r="H726" s="433" t="e">
        <v>#N/A</v>
      </c>
      <c r="I726" s="434">
        <v>12.52</v>
      </c>
      <c r="J726" s="435"/>
    </row>
    <row r="727" spans="1:10" x14ac:dyDescent="0.2">
      <c r="A727" s="140"/>
      <c r="B727" s="157" t="s">
        <v>31</v>
      </c>
      <c r="C727" s="158">
        <v>370</v>
      </c>
      <c r="D727" s="196" t="s">
        <v>1174</v>
      </c>
      <c r="E727" s="159" t="s">
        <v>58</v>
      </c>
      <c r="F727" s="160">
        <v>1.5600000000000002E-3</v>
      </c>
      <c r="G727" s="432">
        <v>105</v>
      </c>
      <c r="H727" s="433" t="e">
        <v>#N/A</v>
      </c>
      <c r="I727" s="434">
        <v>0.16</v>
      </c>
      <c r="J727" s="435"/>
    </row>
    <row r="728" spans="1:10" ht="17.45" customHeight="1" x14ac:dyDescent="0.2">
      <c r="A728" s="140"/>
      <c r="B728" s="175"/>
      <c r="C728" s="248"/>
      <c r="D728" s="199"/>
      <c r="E728" s="163"/>
      <c r="F728" s="163"/>
      <c r="G728" s="456"/>
      <c r="H728" s="457"/>
      <c r="I728" s="458"/>
      <c r="J728" s="459"/>
    </row>
    <row r="729" spans="1:10" ht="17.45" customHeight="1" x14ac:dyDescent="0.2">
      <c r="A729" s="136"/>
      <c r="B729" s="439" t="s">
        <v>13</v>
      </c>
      <c r="C729" s="440"/>
      <c r="D729" s="441"/>
      <c r="E729" s="441"/>
      <c r="F729" s="441"/>
      <c r="G729" s="441"/>
      <c r="H729" s="441"/>
      <c r="I729" s="446">
        <v>4131.84</v>
      </c>
      <c r="J729" s="447"/>
    </row>
    <row r="730" spans="1:10" ht="17.45" customHeight="1" x14ac:dyDescent="0.2">
      <c r="A730" s="148"/>
      <c r="B730" s="251"/>
      <c r="C730" s="252"/>
      <c r="D730" s="460" t="s">
        <v>14</v>
      </c>
      <c r="E730" s="460"/>
      <c r="F730" s="460"/>
      <c r="G730" s="460"/>
      <c r="H730" s="460"/>
      <c r="I730" s="460"/>
      <c r="J730" s="461"/>
    </row>
    <row r="731" spans="1:10" ht="30" customHeight="1" x14ac:dyDescent="0.2">
      <c r="A731" s="140"/>
      <c r="B731" s="170" t="s">
        <v>29</v>
      </c>
      <c r="C731" s="176"/>
      <c r="D731" s="198" t="s">
        <v>7</v>
      </c>
      <c r="E731" s="171" t="s">
        <v>0</v>
      </c>
      <c r="F731" s="171" t="s">
        <v>10</v>
      </c>
      <c r="G731" s="462" t="s">
        <v>11</v>
      </c>
      <c r="H731" s="462"/>
      <c r="I731" s="462" t="s">
        <v>12</v>
      </c>
      <c r="J731" s="463"/>
    </row>
    <row r="732" spans="1:10" x14ac:dyDescent="0.2">
      <c r="A732" s="140"/>
      <c r="B732" s="153"/>
      <c r="C732" s="154"/>
      <c r="D732" s="191"/>
      <c r="E732" s="155"/>
      <c r="F732" s="156"/>
      <c r="G732" s="428"/>
      <c r="H732" s="429"/>
      <c r="I732" s="430"/>
      <c r="J732" s="431"/>
    </row>
    <row r="733" spans="1:10" x14ac:dyDescent="0.2">
      <c r="A733" s="140"/>
      <c r="B733" s="157"/>
      <c r="C733" s="158"/>
      <c r="D733" s="196"/>
      <c r="E733" s="159"/>
      <c r="F733" s="160"/>
      <c r="G733" s="432"/>
      <c r="H733" s="433"/>
      <c r="I733" s="434"/>
      <c r="J733" s="435"/>
    </row>
    <row r="734" spans="1:10" ht="17.45" customHeight="1" x14ac:dyDescent="0.2">
      <c r="A734" s="140"/>
      <c r="B734" s="175"/>
      <c r="C734" s="162"/>
      <c r="D734" s="199"/>
      <c r="E734" s="163"/>
      <c r="F734" s="177"/>
      <c r="G734" s="436"/>
      <c r="H734" s="437"/>
      <c r="I734" s="436"/>
      <c r="J734" s="438"/>
    </row>
    <row r="735" spans="1:10" ht="17.45" customHeight="1" x14ac:dyDescent="0.2">
      <c r="A735" s="136"/>
      <c r="B735" s="439" t="s">
        <v>15</v>
      </c>
      <c r="C735" s="440"/>
      <c r="D735" s="441"/>
      <c r="E735" s="441"/>
      <c r="F735" s="441"/>
      <c r="G735" s="441"/>
      <c r="H735" s="441"/>
      <c r="I735" s="442">
        <v>0</v>
      </c>
      <c r="J735" s="443"/>
    </row>
    <row r="736" spans="1:10" ht="17.45" customHeight="1" x14ac:dyDescent="0.2">
      <c r="A736" s="136"/>
      <c r="B736" s="439" t="s">
        <v>16</v>
      </c>
      <c r="C736" s="440"/>
      <c r="D736" s="441"/>
      <c r="E736" s="441"/>
      <c r="F736" s="441"/>
      <c r="G736" s="441"/>
      <c r="H736" s="441"/>
      <c r="I736" s="444">
        <v>4131.84</v>
      </c>
      <c r="J736" s="445"/>
    </row>
    <row r="737" spans="1:13" ht="17.45" customHeight="1" x14ac:dyDescent="0.2">
      <c r="A737" s="140"/>
      <c r="B737" s="178"/>
      <c r="C737" s="179"/>
      <c r="D737" s="193" t="s">
        <v>17</v>
      </c>
      <c r="E737" s="180"/>
      <c r="F737" s="164">
        <v>0</v>
      </c>
      <c r="G737" s="253"/>
      <c r="H737" s="253"/>
      <c r="I737" s="446">
        <v>0</v>
      </c>
      <c r="J737" s="447"/>
    </row>
    <row r="738" spans="1:13" ht="17.45" customHeight="1" x14ac:dyDescent="0.2">
      <c r="A738" s="136"/>
      <c r="B738" s="439" t="s">
        <v>18</v>
      </c>
      <c r="C738" s="440"/>
      <c r="D738" s="441"/>
      <c r="E738" s="441"/>
      <c r="F738" s="441"/>
      <c r="G738" s="441"/>
      <c r="H738" s="441"/>
      <c r="I738" s="448">
        <v>4131.84</v>
      </c>
      <c r="J738" s="449"/>
    </row>
    <row r="739" spans="1:13" ht="17.45" customHeight="1" x14ac:dyDescent="0.2">
      <c r="A739" s="141"/>
      <c r="B739" s="450" t="s">
        <v>1308</v>
      </c>
      <c r="C739" s="451"/>
      <c r="D739" s="451"/>
      <c r="E739" s="451"/>
      <c r="F739" s="451"/>
      <c r="G739" s="451"/>
      <c r="H739" s="451"/>
      <c r="I739" s="451"/>
      <c r="J739" s="452"/>
    </row>
    <row r="740" spans="1:13" ht="17.45" customHeight="1" thickBot="1" x14ac:dyDescent="0.25">
      <c r="A740" s="140"/>
      <c r="B740" s="453"/>
      <c r="C740" s="454"/>
      <c r="D740" s="454"/>
      <c r="E740" s="454"/>
      <c r="F740" s="454"/>
      <c r="G740" s="454"/>
      <c r="H740" s="454"/>
      <c r="I740" s="454"/>
      <c r="J740" s="455"/>
    </row>
    <row r="741" spans="1:13" ht="13.5" thickBot="1" x14ac:dyDescent="0.25"/>
    <row r="742" spans="1:13" ht="17.45" customHeight="1" x14ac:dyDescent="0.2">
      <c r="A742" s="136"/>
      <c r="B742" s="476" t="s">
        <v>25</v>
      </c>
      <c r="C742" s="477"/>
      <c r="D742" s="477"/>
      <c r="E742" s="477"/>
      <c r="F742" s="477"/>
      <c r="G742" s="477"/>
      <c r="H742" s="477"/>
      <c r="I742" s="477"/>
      <c r="J742" s="478"/>
      <c r="K742" s="190"/>
      <c r="L742" s="137"/>
    </row>
    <row r="743" spans="1:13" ht="17.45" customHeight="1" x14ac:dyDescent="0.2">
      <c r="A743" s="141"/>
      <c r="B743" s="144" t="s">
        <v>43</v>
      </c>
      <c r="C743" s="254" t="s">
        <v>108</v>
      </c>
      <c r="D743" s="193"/>
      <c r="E743" s="253"/>
      <c r="F743" s="143" t="s">
        <v>113</v>
      </c>
      <c r="G743" s="479"/>
      <c r="H743" s="479"/>
      <c r="I743" s="145"/>
      <c r="J743" s="249">
        <v>44682</v>
      </c>
      <c r="K743" s="190"/>
      <c r="L743" s="137"/>
    </row>
    <row r="744" spans="1:13" ht="31.5" customHeight="1" x14ac:dyDescent="0.2">
      <c r="A744" s="141"/>
      <c r="B744" s="144" t="s">
        <v>4</v>
      </c>
      <c r="C744" s="480" t="s">
        <v>1258</v>
      </c>
      <c r="D744" s="480" t="e">
        <v>#N/A</v>
      </c>
      <c r="E744" s="480" t="e">
        <v>#N/A</v>
      </c>
      <c r="F744" s="480" t="e">
        <v>#N/A</v>
      </c>
      <c r="G744" s="480" t="e">
        <v>#N/A</v>
      </c>
      <c r="H744" s="480" t="e">
        <v>#N/A</v>
      </c>
      <c r="I744" s="480" t="e">
        <v>#N/A</v>
      </c>
      <c r="J744" s="481" t="e">
        <v>#N/A</v>
      </c>
      <c r="K744" s="185" t="s">
        <v>114</v>
      </c>
      <c r="L744" s="186" t="s">
        <v>89</v>
      </c>
      <c r="M744" s="187" t="s">
        <v>115</v>
      </c>
    </row>
    <row r="745" spans="1:13" ht="17.45" customHeight="1" x14ac:dyDescent="0.2">
      <c r="A745" s="140" t="s">
        <v>1287</v>
      </c>
      <c r="B745" s="146" t="s">
        <v>46</v>
      </c>
      <c r="C745" s="252" t="s">
        <v>1287</v>
      </c>
      <c r="D745" s="194" t="s">
        <v>45</v>
      </c>
      <c r="E745" s="482" t="s">
        <v>1310</v>
      </c>
      <c r="F745" s="482"/>
      <c r="G745" s="482"/>
      <c r="H745" s="483"/>
      <c r="I745" s="181" t="s">
        <v>116</v>
      </c>
      <c r="J745" s="183" t="s">
        <v>3</v>
      </c>
      <c r="K745" s="184">
        <v>0</v>
      </c>
      <c r="L745" s="188">
        <v>3428.3999999999996</v>
      </c>
      <c r="M745" s="189">
        <v>0</v>
      </c>
    </row>
    <row r="746" spans="1:13" ht="17.45" customHeight="1" x14ac:dyDescent="0.2">
      <c r="A746" s="148"/>
      <c r="B746" s="251"/>
      <c r="C746" s="179" t="s">
        <v>1247</v>
      </c>
      <c r="D746" s="484" t="s">
        <v>6</v>
      </c>
      <c r="E746" s="485"/>
      <c r="F746" s="485"/>
      <c r="G746" s="486"/>
      <c r="H746" s="485"/>
      <c r="I746" s="485"/>
      <c r="J746" s="487"/>
      <c r="K746" s="182"/>
    </row>
    <row r="747" spans="1:13" ht="15" customHeight="1" x14ac:dyDescent="0.2">
      <c r="A747" s="140"/>
      <c r="B747" s="150" t="s">
        <v>29</v>
      </c>
      <c r="C747" s="151" t="s">
        <v>66</v>
      </c>
      <c r="D747" s="195" t="s">
        <v>7</v>
      </c>
      <c r="E747" s="152" t="s">
        <v>30</v>
      </c>
      <c r="F747" s="152" t="s">
        <v>112</v>
      </c>
      <c r="G747" s="488" t="s">
        <v>110</v>
      </c>
      <c r="H747" s="489"/>
      <c r="I747" s="488" t="s">
        <v>111</v>
      </c>
      <c r="J747" s="490"/>
      <c r="K747" s="182"/>
    </row>
    <row r="748" spans="1:13" ht="25.5" x14ac:dyDescent="0.2">
      <c r="A748" s="140"/>
      <c r="B748" s="172" t="s">
        <v>100</v>
      </c>
      <c r="C748" s="154">
        <v>88274</v>
      </c>
      <c r="D748" s="191" t="s">
        <v>1304</v>
      </c>
      <c r="E748" s="155" t="s">
        <v>48</v>
      </c>
      <c r="F748" s="156"/>
      <c r="G748" s="428">
        <v>34.07</v>
      </c>
      <c r="H748" s="429" t="e">
        <v>#N/A</v>
      </c>
      <c r="I748" s="430">
        <v>0</v>
      </c>
      <c r="J748" s="431"/>
    </row>
    <row r="749" spans="1:13" x14ac:dyDescent="0.2">
      <c r="A749" s="140"/>
      <c r="B749" s="157" t="s">
        <v>100</v>
      </c>
      <c r="C749" s="158">
        <v>88316</v>
      </c>
      <c r="D749" s="196" t="s">
        <v>56</v>
      </c>
      <c r="E749" s="159" t="s">
        <v>48</v>
      </c>
      <c r="F749" s="160"/>
      <c r="G749" s="432">
        <v>32.119999999999997</v>
      </c>
      <c r="H749" s="433" t="e">
        <v>#N/A</v>
      </c>
      <c r="I749" s="434">
        <v>0</v>
      </c>
      <c r="J749" s="435"/>
    </row>
    <row r="750" spans="1:13" ht="17.45" customHeight="1" x14ac:dyDescent="0.2">
      <c r="A750" s="140"/>
      <c r="B750" s="161"/>
      <c r="C750" s="162"/>
      <c r="D750" s="197"/>
      <c r="E750" s="163"/>
      <c r="F750" s="163"/>
      <c r="G750" s="456"/>
      <c r="H750" s="457"/>
      <c r="I750" s="464"/>
      <c r="J750" s="465"/>
    </row>
    <row r="751" spans="1:13" ht="17.45" customHeight="1" x14ac:dyDescent="0.2">
      <c r="A751" s="136"/>
      <c r="B751" s="466" t="s">
        <v>44</v>
      </c>
      <c r="C751" s="467"/>
      <c r="D751" s="468"/>
      <c r="E751" s="468"/>
      <c r="F751" s="468"/>
      <c r="G751" s="468"/>
      <c r="H751" s="468"/>
      <c r="I751" s="469">
        <v>0</v>
      </c>
      <c r="J751" s="470"/>
    </row>
    <row r="752" spans="1:13" ht="17.45" customHeight="1" x14ac:dyDescent="0.2">
      <c r="A752" s="136"/>
      <c r="B752" s="466" t="s">
        <v>117</v>
      </c>
      <c r="C752" s="467"/>
      <c r="D752" s="468"/>
      <c r="E752" s="468"/>
      <c r="F752" s="164"/>
      <c r="G752" s="257"/>
      <c r="H752" s="255"/>
      <c r="I752" s="471">
        <v>0</v>
      </c>
      <c r="J752" s="472"/>
    </row>
    <row r="753" spans="1:10" ht="17.45" customHeight="1" x14ac:dyDescent="0.2">
      <c r="A753" s="136"/>
      <c r="B753" s="439" t="s">
        <v>8</v>
      </c>
      <c r="C753" s="440"/>
      <c r="D753" s="441"/>
      <c r="E753" s="441"/>
      <c r="F753" s="441"/>
      <c r="G753" s="441"/>
      <c r="H753" s="441"/>
      <c r="I753" s="473">
        <v>0</v>
      </c>
      <c r="J753" s="474"/>
    </row>
    <row r="754" spans="1:10" ht="17.45" customHeight="1" x14ac:dyDescent="0.2">
      <c r="A754" s="148"/>
      <c r="B754" s="256"/>
      <c r="C754" s="142"/>
      <c r="D754" s="475" t="s">
        <v>9</v>
      </c>
      <c r="E754" s="475"/>
      <c r="F754" s="460"/>
      <c r="G754" s="460"/>
      <c r="H754" s="460"/>
      <c r="I754" s="460"/>
      <c r="J754" s="461"/>
    </row>
    <row r="755" spans="1:10" ht="30" customHeight="1" x14ac:dyDescent="0.2">
      <c r="A755" s="140"/>
      <c r="B755" s="170" t="s">
        <v>29</v>
      </c>
      <c r="C755" s="151" t="s">
        <v>66</v>
      </c>
      <c r="D755" s="198" t="s">
        <v>7</v>
      </c>
      <c r="E755" s="171" t="s">
        <v>0</v>
      </c>
      <c r="F755" s="171" t="s">
        <v>10</v>
      </c>
      <c r="G755" s="462" t="s">
        <v>11</v>
      </c>
      <c r="H755" s="462"/>
      <c r="I755" s="462" t="s">
        <v>12</v>
      </c>
      <c r="J755" s="463"/>
    </row>
    <row r="756" spans="1:10" ht="38.25" x14ac:dyDescent="0.2">
      <c r="A756" s="140"/>
      <c r="B756" s="172" t="s">
        <v>2339</v>
      </c>
      <c r="C756" s="154" t="s">
        <v>1236</v>
      </c>
      <c r="D756" s="191" t="s">
        <v>1258</v>
      </c>
      <c r="E756" s="155" t="s">
        <v>3</v>
      </c>
      <c r="F756" s="156">
        <v>1</v>
      </c>
      <c r="G756" s="428">
        <v>3412.9896179218558</v>
      </c>
      <c r="H756" s="429" t="e">
        <v>#N/A</v>
      </c>
      <c r="I756" s="430">
        <v>3412.99</v>
      </c>
      <c r="J756" s="431"/>
    </row>
    <row r="757" spans="1:10" x14ac:dyDescent="0.2">
      <c r="A757" s="140"/>
      <c r="B757" s="157" t="s">
        <v>31</v>
      </c>
      <c r="C757" s="158">
        <v>1379</v>
      </c>
      <c r="D757" s="196" t="s">
        <v>1173</v>
      </c>
      <c r="E757" s="159" t="s">
        <v>1</v>
      </c>
      <c r="F757" s="160">
        <v>6.347999999999999</v>
      </c>
      <c r="G757" s="432">
        <v>0.66</v>
      </c>
      <c r="H757" s="433" t="e">
        <v>#N/A</v>
      </c>
      <c r="I757" s="434">
        <v>4.1900000000000004</v>
      </c>
      <c r="J757" s="435"/>
    </row>
    <row r="758" spans="1:10" x14ac:dyDescent="0.2">
      <c r="A758" s="140"/>
      <c r="B758" s="157" t="s">
        <v>31</v>
      </c>
      <c r="C758" s="158">
        <v>1380</v>
      </c>
      <c r="D758" s="196" t="s">
        <v>1311</v>
      </c>
      <c r="E758" s="159" t="s">
        <v>1</v>
      </c>
      <c r="F758" s="160">
        <v>2.5116000000000001</v>
      </c>
      <c r="G758" s="432">
        <v>4.41</v>
      </c>
      <c r="H758" s="433" t="e">
        <v>#N/A</v>
      </c>
      <c r="I758" s="434">
        <v>11.08</v>
      </c>
      <c r="J758" s="435"/>
    </row>
    <row r="759" spans="1:10" x14ac:dyDescent="0.2">
      <c r="A759" s="140"/>
      <c r="B759" s="157" t="s">
        <v>31</v>
      </c>
      <c r="C759" s="158">
        <v>370</v>
      </c>
      <c r="D759" s="196" t="s">
        <v>1174</v>
      </c>
      <c r="E759" s="159" t="s">
        <v>58</v>
      </c>
      <c r="F759" s="160">
        <v>1.3799999999999999E-3</v>
      </c>
      <c r="G759" s="432">
        <v>105</v>
      </c>
      <c r="H759" s="433" t="e">
        <v>#N/A</v>
      </c>
      <c r="I759" s="434">
        <v>0.14000000000000001</v>
      </c>
      <c r="J759" s="435"/>
    </row>
    <row r="760" spans="1:10" ht="17.45" customHeight="1" x14ac:dyDescent="0.2">
      <c r="A760" s="140"/>
      <c r="B760" s="175"/>
      <c r="C760" s="248"/>
      <c r="D760" s="199"/>
      <c r="E760" s="163"/>
      <c r="F760" s="163"/>
      <c r="G760" s="456"/>
      <c r="H760" s="457"/>
      <c r="I760" s="458"/>
      <c r="J760" s="459"/>
    </row>
    <row r="761" spans="1:10" ht="17.45" customHeight="1" x14ac:dyDescent="0.2">
      <c r="A761" s="136"/>
      <c r="B761" s="439" t="s">
        <v>13</v>
      </c>
      <c r="C761" s="440"/>
      <c r="D761" s="441"/>
      <c r="E761" s="441"/>
      <c r="F761" s="441"/>
      <c r="G761" s="441"/>
      <c r="H761" s="441"/>
      <c r="I761" s="446">
        <v>3428.3999999999996</v>
      </c>
      <c r="J761" s="447"/>
    </row>
    <row r="762" spans="1:10" ht="17.45" customHeight="1" x14ac:dyDescent="0.2">
      <c r="A762" s="148"/>
      <c r="B762" s="251"/>
      <c r="C762" s="252"/>
      <c r="D762" s="460" t="s">
        <v>14</v>
      </c>
      <c r="E762" s="460"/>
      <c r="F762" s="460"/>
      <c r="G762" s="460"/>
      <c r="H762" s="460"/>
      <c r="I762" s="460"/>
      <c r="J762" s="461"/>
    </row>
    <row r="763" spans="1:10" ht="30" customHeight="1" x14ac:dyDescent="0.2">
      <c r="A763" s="140"/>
      <c r="B763" s="170" t="s">
        <v>29</v>
      </c>
      <c r="C763" s="176"/>
      <c r="D763" s="198" t="s">
        <v>7</v>
      </c>
      <c r="E763" s="171" t="s">
        <v>0</v>
      </c>
      <c r="F763" s="171" t="s">
        <v>10</v>
      </c>
      <c r="G763" s="462" t="s">
        <v>11</v>
      </c>
      <c r="H763" s="462"/>
      <c r="I763" s="462" t="s">
        <v>12</v>
      </c>
      <c r="J763" s="463"/>
    </row>
    <row r="764" spans="1:10" x14ac:dyDescent="0.2">
      <c r="A764" s="140"/>
      <c r="B764" s="153"/>
      <c r="C764" s="154"/>
      <c r="D764" s="191"/>
      <c r="E764" s="155"/>
      <c r="F764" s="156"/>
      <c r="G764" s="428"/>
      <c r="H764" s="429"/>
      <c r="I764" s="430"/>
      <c r="J764" s="431"/>
    </row>
    <row r="765" spans="1:10" x14ac:dyDescent="0.2">
      <c r="A765" s="140"/>
      <c r="B765" s="157"/>
      <c r="C765" s="158"/>
      <c r="D765" s="196"/>
      <c r="E765" s="159"/>
      <c r="F765" s="160"/>
      <c r="G765" s="432"/>
      <c r="H765" s="433"/>
      <c r="I765" s="434"/>
      <c r="J765" s="435"/>
    </row>
    <row r="766" spans="1:10" ht="17.45" customHeight="1" x14ac:dyDescent="0.2">
      <c r="A766" s="140"/>
      <c r="B766" s="175"/>
      <c r="C766" s="162"/>
      <c r="D766" s="199"/>
      <c r="E766" s="163"/>
      <c r="F766" s="177"/>
      <c r="G766" s="436"/>
      <c r="H766" s="437"/>
      <c r="I766" s="436"/>
      <c r="J766" s="438"/>
    </row>
    <row r="767" spans="1:10" ht="17.45" customHeight="1" x14ac:dyDescent="0.2">
      <c r="A767" s="136"/>
      <c r="B767" s="439" t="s">
        <v>15</v>
      </c>
      <c r="C767" s="440"/>
      <c r="D767" s="441"/>
      <c r="E767" s="441"/>
      <c r="F767" s="441"/>
      <c r="G767" s="441"/>
      <c r="H767" s="441"/>
      <c r="I767" s="442">
        <v>0</v>
      </c>
      <c r="J767" s="443"/>
    </row>
    <row r="768" spans="1:10" ht="17.45" customHeight="1" x14ac:dyDescent="0.2">
      <c r="A768" s="136"/>
      <c r="B768" s="439" t="s">
        <v>16</v>
      </c>
      <c r="C768" s="440"/>
      <c r="D768" s="441"/>
      <c r="E768" s="441"/>
      <c r="F768" s="441"/>
      <c r="G768" s="441"/>
      <c r="H768" s="441"/>
      <c r="I768" s="444">
        <v>3428.3999999999996</v>
      </c>
      <c r="J768" s="445"/>
    </row>
    <row r="769" spans="1:13" ht="17.45" customHeight="1" x14ac:dyDescent="0.2">
      <c r="A769" s="140"/>
      <c r="B769" s="178"/>
      <c r="C769" s="179"/>
      <c r="D769" s="193" t="s">
        <v>17</v>
      </c>
      <c r="E769" s="180"/>
      <c r="F769" s="164">
        <v>0</v>
      </c>
      <c r="G769" s="253"/>
      <c r="H769" s="253"/>
      <c r="I769" s="446">
        <v>0</v>
      </c>
      <c r="J769" s="447"/>
    </row>
    <row r="770" spans="1:13" ht="17.45" customHeight="1" x14ac:dyDescent="0.2">
      <c r="A770" s="136"/>
      <c r="B770" s="439" t="s">
        <v>18</v>
      </c>
      <c r="C770" s="440"/>
      <c r="D770" s="441"/>
      <c r="E770" s="441"/>
      <c r="F770" s="441"/>
      <c r="G770" s="441"/>
      <c r="H770" s="441"/>
      <c r="I770" s="448">
        <v>3428.3999999999996</v>
      </c>
      <c r="J770" s="449"/>
    </row>
    <row r="771" spans="1:13" ht="17.45" customHeight="1" x14ac:dyDescent="0.2">
      <c r="A771" s="141"/>
      <c r="B771" s="450" t="s">
        <v>1308</v>
      </c>
      <c r="C771" s="451"/>
      <c r="D771" s="451"/>
      <c r="E771" s="451"/>
      <c r="F771" s="451"/>
      <c r="G771" s="451"/>
      <c r="H771" s="451"/>
      <c r="I771" s="451"/>
      <c r="J771" s="452"/>
    </row>
    <row r="772" spans="1:13" ht="17.45" customHeight="1" thickBot="1" x14ac:dyDescent="0.25">
      <c r="A772" s="140"/>
      <c r="B772" s="453"/>
      <c r="C772" s="454"/>
      <c r="D772" s="454"/>
      <c r="E772" s="454"/>
      <c r="F772" s="454"/>
      <c r="G772" s="454"/>
      <c r="H772" s="454"/>
      <c r="I772" s="454"/>
      <c r="J772" s="455"/>
    </row>
    <row r="773" spans="1:13" ht="13.5" thickBot="1" x14ac:dyDescent="0.25"/>
    <row r="774" spans="1:13" ht="17.45" customHeight="1" x14ac:dyDescent="0.2">
      <c r="A774" s="136"/>
      <c r="B774" s="476" t="s">
        <v>25</v>
      </c>
      <c r="C774" s="477"/>
      <c r="D774" s="477"/>
      <c r="E774" s="477"/>
      <c r="F774" s="477"/>
      <c r="G774" s="477"/>
      <c r="H774" s="477"/>
      <c r="I774" s="477"/>
      <c r="J774" s="478"/>
      <c r="K774" s="190"/>
      <c r="L774" s="137"/>
    </row>
    <row r="775" spans="1:13" ht="17.45" customHeight="1" x14ac:dyDescent="0.2">
      <c r="A775" s="141"/>
      <c r="B775" s="144" t="s">
        <v>43</v>
      </c>
      <c r="C775" s="254" t="s">
        <v>108</v>
      </c>
      <c r="D775" s="193"/>
      <c r="E775" s="253"/>
      <c r="F775" s="143" t="s">
        <v>113</v>
      </c>
      <c r="G775" s="479"/>
      <c r="H775" s="479"/>
      <c r="I775" s="145"/>
      <c r="J775" s="249">
        <v>44682</v>
      </c>
      <c r="K775" s="190"/>
      <c r="L775" s="137"/>
    </row>
    <row r="776" spans="1:13" ht="31.5" customHeight="1" x14ac:dyDescent="0.2">
      <c r="A776" s="141"/>
      <c r="B776" s="144" t="s">
        <v>4</v>
      </c>
      <c r="C776" s="480" t="s">
        <v>1257</v>
      </c>
      <c r="D776" s="480" t="e">
        <v>#N/A</v>
      </c>
      <c r="E776" s="480" t="e">
        <v>#N/A</v>
      </c>
      <c r="F776" s="480" t="e">
        <v>#N/A</v>
      </c>
      <c r="G776" s="480" t="e">
        <v>#N/A</v>
      </c>
      <c r="H776" s="480" t="e">
        <v>#N/A</v>
      </c>
      <c r="I776" s="480" t="e">
        <v>#N/A</v>
      </c>
      <c r="J776" s="481" t="e">
        <v>#N/A</v>
      </c>
      <c r="K776" s="185" t="s">
        <v>114</v>
      </c>
      <c r="L776" s="186" t="s">
        <v>89</v>
      </c>
      <c r="M776" s="187" t="s">
        <v>115</v>
      </c>
    </row>
    <row r="777" spans="1:13" ht="17.45" customHeight="1" x14ac:dyDescent="0.2">
      <c r="A777" s="140" t="s">
        <v>1288</v>
      </c>
      <c r="B777" s="146" t="s">
        <v>46</v>
      </c>
      <c r="C777" s="252" t="s">
        <v>1288</v>
      </c>
      <c r="D777" s="194" t="s">
        <v>45</v>
      </c>
      <c r="E777" s="482" t="s">
        <v>1310</v>
      </c>
      <c r="F777" s="482"/>
      <c r="G777" s="482"/>
      <c r="H777" s="483"/>
      <c r="I777" s="181" t="s">
        <v>116</v>
      </c>
      <c r="J777" s="183" t="s">
        <v>3</v>
      </c>
      <c r="K777" s="184">
        <v>0</v>
      </c>
      <c r="L777" s="188">
        <v>3163.71</v>
      </c>
      <c r="M777" s="189">
        <v>0</v>
      </c>
    </row>
    <row r="778" spans="1:13" ht="17.45" customHeight="1" x14ac:dyDescent="0.2">
      <c r="A778" s="148"/>
      <c r="B778" s="251"/>
      <c r="C778" s="179" t="s">
        <v>1247</v>
      </c>
      <c r="D778" s="484" t="s">
        <v>6</v>
      </c>
      <c r="E778" s="485"/>
      <c r="F778" s="485"/>
      <c r="G778" s="486"/>
      <c r="H778" s="485"/>
      <c r="I778" s="485"/>
      <c r="J778" s="487"/>
      <c r="K778" s="182"/>
    </row>
    <row r="779" spans="1:13" ht="15" customHeight="1" x14ac:dyDescent="0.2">
      <c r="A779" s="140"/>
      <c r="B779" s="150" t="s">
        <v>29</v>
      </c>
      <c r="C779" s="151" t="s">
        <v>66</v>
      </c>
      <c r="D779" s="195" t="s">
        <v>7</v>
      </c>
      <c r="E779" s="152" t="s">
        <v>30</v>
      </c>
      <c r="F779" s="152" t="s">
        <v>112</v>
      </c>
      <c r="G779" s="488" t="s">
        <v>110</v>
      </c>
      <c r="H779" s="489"/>
      <c r="I779" s="488" t="s">
        <v>111</v>
      </c>
      <c r="J779" s="490"/>
      <c r="K779" s="182"/>
    </row>
    <row r="780" spans="1:13" ht="25.5" x14ac:dyDescent="0.2">
      <c r="A780" s="140"/>
      <c r="B780" s="172" t="s">
        <v>100</v>
      </c>
      <c r="C780" s="154">
        <v>88274</v>
      </c>
      <c r="D780" s="191" t="s">
        <v>1304</v>
      </c>
      <c r="E780" s="155" t="s">
        <v>48</v>
      </c>
      <c r="F780" s="156"/>
      <c r="G780" s="428">
        <v>34.07</v>
      </c>
      <c r="H780" s="429" t="e">
        <v>#N/A</v>
      </c>
      <c r="I780" s="430">
        <v>0</v>
      </c>
      <c r="J780" s="431"/>
    </row>
    <row r="781" spans="1:13" x14ac:dyDescent="0.2">
      <c r="A781" s="140"/>
      <c r="B781" s="157" t="s">
        <v>100</v>
      </c>
      <c r="C781" s="158">
        <v>88316</v>
      </c>
      <c r="D781" s="196" t="s">
        <v>56</v>
      </c>
      <c r="E781" s="159" t="s">
        <v>48</v>
      </c>
      <c r="F781" s="160"/>
      <c r="G781" s="432">
        <v>32.119999999999997</v>
      </c>
      <c r="H781" s="433" t="e">
        <v>#N/A</v>
      </c>
      <c r="I781" s="434">
        <v>0</v>
      </c>
      <c r="J781" s="435"/>
    </row>
    <row r="782" spans="1:13" ht="17.45" customHeight="1" x14ac:dyDescent="0.2">
      <c r="A782" s="140"/>
      <c r="B782" s="161"/>
      <c r="C782" s="162"/>
      <c r="D782" s="197"/>
      <c r="E782" s="163"/>
      <c r="F782" s="163"/>
      <c r="G782" s="456"/>
      <c r="H782" s="457"/>
      <c r="I782" s="464"/>
      <c r="J782" s="465"/>
    </row>
    <row r="783" spans="1:13" ht="17.45" customHeight="1" x14ac:dyDescent="0.2">
      <c r="A783" s="136"/>
      <c r="B783" s="466" t="s">
        <v>44</v>
      </c>
      <c r="C783" s="467"/>
      <c r="D783" s="468"/>
      <c r="E783" s="468"/>
      <c r="F783" s="468"/>
      <c r="G783" s="468"/>
      <c r="H783" s="468"/>
      <c r="I783" s="469">
        <v>0</v>
      </c>
      <c r="J783" s="470"/>
    </row>
    <row r="784" spans="1:13" ht="17.45" customHeight="1" x14ac:dyDescent="0.2">
      <c r="A784" s="136"/>
      <c r="B784" s="466" t="s">
        <v>117</v>
      </c>
      <c r="C784" s="467"/>
      <c r="D784" s="468"/>
      <c r="E784" s="468"/>
      <c r="F784" s="164"/>
      <c r="G784" s="257"/>
      <c r="H784" s="255"/>
      <c r="I784" s="471">
        <v>0</v>
      </c>
      <c r="J784" s="472"/>
    </row>
    <row r="785" spans="1:10" ht="17.45" customHeight="1" x14ac:dyDescent="0.2">
      <c r="A785" s="136"/>
      <c r="B785" s="439" t="s">
        <v>8</v>
      </c>
      <c r="C785" s="440"/>
      <c r="D785" s="441"/>
      <c r="E785" s="441"/>
      <c r="F785" s="441"/>
      <c r="G785" s="441"/>
      <c r="H785" s="441"/>
      <c r="I785" s="473">
        <v>0</v>
      </c>
      <c r="J785" s="474"/>
    </row>
    <row r="786" spans="1:10" ht="17.45" customHeight="1" x14ac:dyDescent="0.2">
      <c r="A786" s="148"/>
      <c r="B786" s="256"/>
      <c r="C786" s="142"/>
      <c r="D786" s="475" t="s">
        <v>9</v>
      </c>
      <c r="E786" s="475"/>
      <c r="F786" s="460"/>
      <c r="G786" s="460"/>
      <c r="H786" s="460"/>
      <c r="I786" s="460"/>
      <c r="J786" s="461"/>
    </row>
    <row r="787" spans="1:10" ht="30" customHeight="1" x14ac:dyDescent="0.2">
      <c r="A787" s="140"/>
      <c r="B787" s="170" t="s">
        <v>29</v>
      </c>
      <c r="C787" s="151" t="s">
        <v>66</v>
      </c>
      <c r="D787" s="198" t="s">
        <v>7</v>
      </c>
      <c r="E787" s="171" t="s">
        <v>0</v>
      </c>
      <c r="F787" s="171" t="s">
        <v>10</v>
      </c>
      <c r="G787" s="462" t="s">
        <v>11</v>
      </c>
      <c r="H787" s="462"/>
      <c r="I787" s="462" t="s">
        <v>12</v>
      </c>
      <c r="J787" s="463"/>
    </row>
    <row r="788" spans="1:10" ht="38.25" x14ac:dyDescent="0.2">
      <c r="A788" s="140"/>
      <c r="B788" s="172" t="s">
        <v>2339</v>
      </c>
      <c r="C788" s="154" t="s">
        <v>1237</v>
      </c>
      <c r="D788" s="191" t="s">
        <v>1257</v>
      </c>
      <c r="E788" s="155" t="s">
        <v>3</v>
      </c>
      <c r="F788" s="156">
        <v>1</v>
      </c>
      <c r="G788" s="428">
        <v>3147.6322146648349</v>
      </c>
      <c r="H788" s="429" t="e">
        <v>#N/A</v>
      </c>
      <c r="I788" s="430">
        <v>3147.63</v>
      </c>
      <c r="J788" s="431"/>
    </row>
    <row r="789" spans="1:10" x14ac:dyDescent="0.2">
      <c r="A789" s="140"/>
      <c r="B789" s="157" t="s">
        <v>31</v>
      </c>
      <c r="C789" s="158">
        <v>1379</v>
      </c>
      <c r="D789" s="196" t="s">
        <v>1173</v>
      </c>
      <c r="E789" s="159" t="s">
        <v>1</v>
      </c>
      <c r="F789" s="160">
        <v>6.6239999999999997</v>
      </c>
      <c r="G789" s="432">
        <v>0.66</v>
      </c>
      <c r="H789" s="433" t="e">
        <v>#N/A</v>
      </c>
      <c r="I789" s="434">
        <v>4.37</v>
      </c>
      <c r="J789" s="435"/>
    </row>
    <row r="790" spans="1:10" x14ac:dyDescent="0.2">
      <c r="A790" s="140"/>
      <c r="B790" s="157" t="s">
        <v>31</v>
      </c>
      <c r="C790" s="158">
        <v>1380</v>
      </c>
      <c r="D790" s="196" t="s">
        <v>1311</v>
      </c>
      <c r="E790" s="159" t="s">
        <v>1</v>
      </c>
      <c r="F790" s="160">
        <v>2.6208000000000005</v>
      </c>
      <c r="G790" s="432">
        <v>4.41</v>
      </c>
      <c r="H790" s="433" t="e">
        <v>#N/A</v>
      </c>
      <c r="I790" s="434">
        <v>11.56</v>
      </c>
      <c r="J790" s="435"/>
    </row>
    <row r="791" spans="1:10" x14ac:dyDescent="0.2">
      <c r="A791" s="140"/>
      <c r="B791" s="157" t="s">
        <v>31</v>
      </c>
      <c r="C791" s="158">
        <v>370</v>
      </c>
      <c r="D791" s="196" t="s">
        <v>1174</v>
      </c>
      <c r="E791" s="159" t="s">
        <v>58</v>
      </c>
      <c r="F791" s="160">
        <v>1.4400000000000003E-3</v>
      </c>
      <c r="G791" s="432">
        <v>105</v>
      </c>
      <c r="H791" s="433" t="e">
        <v>#N/A</v>
      </c>
      <c r="I791" s="434">
        <v>0.15</v>
      </c>
      <c r="J791" s="435"/>
    </row>
    <row r="792" spans="1:10" ht="17.45" customHeight="1" x14ac:dyDescent="0.2">
      <c r="A792" s="140"/>
      <c r="B792" s="175"/>
      <c r="C792" s="248"/>
      <c r="D792" s="199"/>
      <c r="E792" s="163"/>
      <c r="F792" s="163"/>
      <c r="G792" s="456"/>
      <c r="H792" s="457"/>
      <c r="I792" s="458"/>
      <c r="J792" s="459"/>
    </row>
    <row r="793" spans="1:10" ht="17.45" customHeight="1" x14ac:dyDescent="0.2">
      <c r="A793" s="136"/>
      <c r="B793" s="439" t="s">
        <v>13</v>
      </c>
      <c r="C793" s="440"/>
      <c r="D793" s="441"/>
      <c r="E793" s="441"/>
      <c r="F793" s="441"/>
      <c r="G793" s="441"/>
      <c r="H793" s="441"/>
      <c r="I793" s="446">
        <v>3163.71</v>
      </c>
      <c r="J793" s="447"/>
    </row>
    <row r="794" spans="1:10" ht="17.45" customHeight="1" x14ac:dyDescent="0.2">
      <c r="A794" s="148"/>
      <c r="B794" s="251"/>
      <c r="C794" s="252"/>
      <c r="D794" s="460" t="s">
        <v>14</v>
      </c>
      <c r="E794" s="460"/>
      <c r="F794" s="460"/>
      <c r="G794" s="460"/>
      <c r="H794" s="460"/>
      <c r="I794" s="460"/>
      <c r="J794" s="461"/>
    </row>
    <row r="795" spans="1:10" ht="30" customHeight="1" x14ac:dyDescent="0.2">
      <c r="A795" s="140"/>
      <c r="B795" s="170" t="s">
        <v>29</v>
      </c>
      <c r="C795" s="176"/>
      <c r="D795" s="198" t="s">
        <v>7</v>
      </c>
      <c r="E795" s="171" t="s">
        <v>0</v>
      </c>
      <c r="F795" s="171" t="s">
        <v>10</v>
      </c>
      <c r="G795" s="462" t="s">
        <v>11</v>
      </c>
      <c r="H795" s="462"/>
      <c r="I795" s="462" t="s">
        <v>12</v>
      </c>
      <c r="J795" s="463"/>
    </row>
    <row r="796" spans="1:10" x14ac:dyDescent="0.2">
      <c r="A796" s="140"/>
      <c r="B796" s="153"/>
      <c r="C796" s="154"/>
      <c r="D796" s="191"/>
      <c r="E796" s="155"/>
      <c r="F796" s="156"/>
      <c r="G796" s="428"/>
      <c r="H796" s="429"/>
      <c r="I796" s="430"/>
      <c r="J796" s="431"/>
    </row>
    <row r="797" spans="1:10" x14ac:dyDescent="0.2">
      <c r="A797" s="140"/>
      <c r="B797" s="157"/>
      <c r="C797" s="158"/>
      <c r="D797" s="196"/>
      <c r="E797" s="159"/>
      <c r="F797" s="160"/>
      <c r="G797" s="432"/>
      <c r="H797" s="433"/>
      <c r="I797" s="434"/>
      <c r="J797" s="435"/>
    </row>
    <row r="798" spans="1:10" ht="17.45" customHeight="1" x14ac:dyDescent="0.2">
      <c r="A798" s="140"/>
      <c r="B798" s="175"/>
      <c r="C798" s="162"/>
      <c r="D798" s="199"/>
      <c r="E798" s="163"/>
      <c r="F798" s="177"/>
      <c r="G798" s="436"/>
      <c r="H798" s="437"/>
      <c r="I798" s="436"/>
      <c r="J798" s="438"/>
    </row>
    <row r="799" spans="1:10" ht="17.45" customHeight="1" x14ac:dyDescent="0.2">
      <c r="A799" s="136"/>
      <c r="B799" s="439" t="s">
        <v>15</v>
      </c>
      <c r="C799" s="440"/>
      <c r="D799" s="441"/>
      <c r="E799" s="441"/>
      <c r="F799" s="441"/>
      <c r="G799" s="441"/>
      <c r="H799" s="441"/>
      <c r="I799" s="442">
        <v>0</v>
      </c>
      <c r="J799" s="443"/>
    </row>
    <row r="800" spans="1:10" ht="17.45" customHeight="1" x14ac:dyDescent="0.2">
      <c r="A800" s="136"/>
      <c r="B800" s="439" t="s">
        <v>16</v>
      </c>
      <c r="C800" s="440"/>
      <c r="D800" s="441"/>
      <c r="E800" s="441"/>
      <c r="F800" s="441"/>
      <c r="G800" s="441"/>
      <c r="H800" s="441"/>
      <c r="I800" s="444">
        <v>3163.71</v>
      </c>
      <c r="J800" s="445"/>
    </row>
    <row r="801" spans="1:13" ht="17.45" customHeight="1" x14ac:dyDescent="0.2">
      <c r="A801" s="140"/>
      <c r="B801" s="178"/>
      <c r="C801" s="179"/>
      <c r="D801" s="193" t="s">
        <v>17</v>
      </c>
      <c r="E801" s="180"/>
      <c r="F801" s="164">
        <v>0</v>
      </c>
      <c r="G801" s="253"/>
      <c r="H801" s="253"/>
      <c r="I801" s="446">
        <v>0</v>
      </c>
      <c r="J801" s="447"/>
    </row>
    <row r="802" spans="1:13" ht="17.45" customHeight="1" x14ac:dyDescent="0.2">
      <c r="A802" s="136"/>
      <c r="B802" s="439" t="s">
        <v>18</v>
      </c>
      <c r="C802" s="440"/>
      <c r="D802" s="441"/>
      <c r="E802" s="441"/>
      <c r="F802" s="441"/>
      <c r="G802" s="441"/>
      <c r="H802" s="441"/>
      <c r="I802" s="448">
        <v>3163.71</v>
      </c>
      <c r="J802" s="449"/>
    </row>
    <row r="803" spans="1:13" ht="17.45" customHeight="1" x14ac:dyDescent="0.2">
      <c r="A803" s="141"/>
      <c r="B803" s="450" t="s">
        <v>1308</v>
      </c>
      <c r="C803" s="451"/>
      <c r="D803" s="451"/>
      <c r="E803" s="451"/>
      <c r="F803" s="451"/>
      <c r="G803" s="451"/>
      <c r="H803" s="451"/>
      <c r="I803" s="451"/>
      <c r="J803" s="452"/>
    </row>
    <row r="804" spans="1:13" ht="17.45" customHeight="1" thickBot="1" x14ac:dyDescent="0.25">
      <c r="A804" s="140"/>
      <c r="B804" s="453"/>
      <c r="C804" s="454"/>
      <c r="D804" s="454"/>
      <c r="E804" s="454"/>
      <c r="F804" s="454"/>
      <c r="G804" s="454"/>
      <c r="H804" s="454"/>
      <c r="I804" s="454"/>
      <c r="J804" s="455"/>
    </row>
    <row r="805" spans="1:13" ht="13.5" thickBot="1" x14ac:dyDescent="0.25"/>
    <row r="806" spans="1:13" ht="17.45" customHeight="1" x14ac:dyDescent="0.2">
      <c r="A806" s="136"/>
      <c r="B806" s="476" t="s">
        <v>25</v>
      </c>
      <c r="C806" s="477"/>
      <c r="D806" s="477"/>
      <c r="E806" s="477"/>
      <c r="F806" s="477"/>
      <c r="G806" s="477"/>
      <c r="H806" s="477"/>
      <c r="I806" s="477"/>
      <c r="J806" s="478"/>
      <c r="K806" s="190"/>
      <c r="L806" s="137"/>
    </row>
    <row r="807" spans="1:13" ht="17.45" customHeight="1" x14ac:dyDescent="0.2">
      <c r="A807" s="141"/>
      <c r="B807" s="144" t="s">
        <v>43</v>
      </c>
      <c r="C807" s="273" t="s">
        <v>108</v>
      </c>
      <c r="D807" s="193"/>
      <c r="E807" s="272"/>
      <c r="F807" s="143" t="s">
        <v>113</v>
      </c>
      <c r="G807" s="479"/>
      <c r="H807" s="479"/>
      <c r="I807" s="145"/>
      <c r="J807" s="249">
        <v>44682</v>
      </c>
      <c r="K807" s="190"/>
      <c r="L807" s="137"/>
    </row>
    <row r="808" spans="1:13" ht="31.5" customHeight="1" x14ac:dyDescent="0.2">
      <c r="A808" s="141"/>
      <c r="B808" s="144" t="s">
        <v>4</v>
      </c>
      <c r="C808" s="480" t="s">
        <v>1799</v>
      </c>
      <c r="D808" s="480" t="e">
        <v>#N/A</v>
      </c>
      <c r="E808" s="480" t="e">
        <v>#N/A</v>
      </c>
      <c r="F808" s="480" t="e">
        <v>#N/A</v>
      </c>
      <c r="G808" s="480" t="e">
        <v>#N/A</v>
      </c>
      <c r="H808" s="480" t="e">
        <v>#N/A</v>
      </c>
      <c r="I808" s="480" t="e">
        <v>#N/A</v>
      </c>
      <c r="J808" s="481" t="e">
        <v>#N/A</v>
      </c>
      <c r="K808" s="185" t="s">
        <v>114</v>
      </c>
      <c r="L808" s="186" t="s">
        <v>89</v>
      </c>
      <c r="M808" s="187" t="s">
        <v>115</v>
      </c>
    </row>
    <row r="809" spans="1:13" ht="17.45" customHeight="1" x14ac:dyDescent="0.2">
      <c r="A809" s="140" t="s">
        <v>1289</v>
      </c>
      <c r="B809" s="146" t="s">
        <v>46</v>
      </c>
      <c r="C809" s="271" t="s">
        <v>1289</v>
      </c>
      <c r="D809" s="194" t="s">
        <v>45</v>
      </c>
      <c r="E809" s="482" t="s">
        <v>168</v>
      </c>
      <c r="F809" s="482"/>
      <c r="G809" s="482"/>
      <c r="H809" s="483"/>
      <c r="I809" s="181" t="s">
        <v>116</v>
      </c>
      <c r="J809" s="183" t="s">
        <v>57</v>
      </c>
      <c r="K809" s="184">
        <v>128.21</v>
      </c>
      <c r="L809" s="188">
        <v>316.3</v>
      </c>
      <c r="M809" s="189">
        <v>0</v>
      </c>
    </row>
    <row r="810" spans="1:13" ht="17.45" customHeight="1" x14ac:dyDescent="0.2">
      <c r="A810" s="148"/>
      <c r="B810" s="270"/>
      <c r="C810" s="179" t="s">
        <v>1247</v>
      </c>
      <c r="D810" s="484" t="s">
        <v>6</v>
      </c>
      <c r="E810" s="485"/>
      <c r="F810" s="485"/>
      <c r="G810" s="486"/>
      <c r="H810" s="485"/>
      <c r="I810" s="485"/>
      <c r="J810" s="487"/>
      <c r="K810" s="182"/>
    </row>
    <row r="811" spans="1:13" ht="15" customHeight="1" x14ac:dyDescent="0.2">
      <c r="A811" s="140"/>
      <c r="B811" s="150" t="s">
        <v>29</v>
      </c>
      <c r="C811" s="151" t="s">
        <v>66</v>
      </c>
      <c r="D811" s="195" t="s">
        <v>7</v>
      </c>
      <c r="E811" s="152" t="s">
        <v>30</v>
      </c>
      <c r="F811" s="152" t="s">
        <v>112</v>
      </c>
      <c r="G811" s="488" t="s">
        <v>110</v>
      </c>
      <c r="H811" s="489"/>
      <c r="I811" s="488" t="s">
        <v>111</v>
      </c>
      <c r="J811" s="490"/>
      <c r="K811" s="182"/>
    </row>
    <row r="812" spans="1:13" ht="25.5" x14ac:dyDescent="0.2">
      <c r="A812" s="140"/>
      <c r="B812" s="172" t="s">
        <v>2339</v>
      </c>
      <c r="C812" s="154" t="s">
        <v>1241</v>
      </c>
      <c r="D812" s="191" t="s">
        <v>1802</v>
      </c>
      <c r="E812" s="155" t="s">
        <v>57</v>
      </c>
      <c r="F812" s="156">
        <v>1</v>
      </c>
      <c r="G812" s="428">
        <v>128.21</v>
      </c>
      <c r="H812" s="429" t="e">
        <v>#N/A</v>
      </c>
      <c r="I812" s="430">
        <v>128.21</v>
      </c>
      <c r="J812" s="431"/>
    </row>
    <row r="813" spans="1:13" ht="17.45" customHeight="1" x14ac:dyDescent="0.2">
      <c r="A813" s="140"/>
      <c r="B813" s="161"/>
      <c r="C813" s="162"/>
      <c r="D813" s="197"/>
      <c r="E813" s="163"/>
      <c r="F813" s="163"/>
      <c r="G813" s="456"/>
      <c r="H813" s="457"/>
      <c r="I813" s="464"/>
      <c r="J813" s="465"/>
    </row>
    <row r="814" spans="1:13" ht="17.45" customHeight="1" x14ac:dyDescent="0.2">
      <c r="A814" s="136"/>
      <c r="B814" s="466" t="s">
        <v>44</v>
      </c>
      <c r="C814" s="467"/>
      <c r="D814" s="468"/>
      <c r="E814" s="468"/>
      <c r="F814" s="468"/>
      <c r="G814" s="468"/>
      <c r="H814" s="468"/>
      <c r="I814" s="469">
        <v>128.21</v>
      </c>
      <c r="J814" s="470"/>
    </row>
    <row r="815" spans="1:13" ht="17.45" customHeight="1" x14ac:dyDescent="0.2">
      <c r="A815" s="136"/>
      <c r="B815" s="466" t="s">
        <v>117</v>
      </c>
      <c r="C815" s="467"/>
      <c r="D815" s="468"/>
      <c r="E815" s="468"/>
      <c r="F815" s="164"/>
      <c r="G815" s="276"/>
      <c r="H815" s="274"/>
      <c r="I815" s="471">
        <v>0</v>
      </c>
      <c r="J815" s="472"/>
    </row>
    <row r="816" spans="1:13" ht="17.45" customHeight="1" x14ac:dyDescent="0.2">
      <c r="A816" s="136"/>
      <c r="B816" s="439" t="s">
        <v>8</v>
      </c>
      <c r="C816" s="440"/>
      <c r="D816" s="441"/>
      <c r="E816" s="441"/>
      <c r="F816" s="441"/>
      <c r="G816" s="441"/>
      <c r="H816" s="441"/>
      <c r="I816" s="473">
        <v>128.21</v>
      </c>
      <c r="J816" s="474"/>
    </row>
    <row r="817" spans="1:10" ht="17.45" customHeight="1" x14ac:dyDescent="0.2">
      <c r="A817" s="148"/>
      <c r="B817" s="275"/>
      <c r="C817" s="142"/>
      <c r="D817" s="475" t="s">
        <v>9</v>
      </c>
      <c r="E817" s="475"/>
      <c r="F817" s="460"/>
      <c r="G817" s="460"/>
      <c r="H817" s="460"/>
      <c r="I817" s="460"/>
      <c r="J817" s="461"/>
    </row>
    <row r="818" spans="1:10" ht="30" customHeight="1" x14ac:dyDescent="0.2">
      <c r="A818" s="140"/>
      <c r="B818" s="170" t="s">
        <v>29</v>
      </c>
      <c r="C818" s="151" t="s">
        <v>66</v>
      </c>
      <c r="D818" s="198" t="s">
        <v>7</v>
      </c>
      <c r="E818" s="171" t="s">
        <v>0</v>
      </c>
      <c r="F818" s="171" t="s">
        <v>10</v>
      </c>
      <c r="G818" s="462" t="s">
        <v>11</v>
      </c>
      <c r="H818" s="462"/>
      <c r="I818" s="462" t="s">
        <v>12</v>
      </c>
      <c r="J818" s="463"/>
    </row>
    <row r="819" spans="1:10" ht="25.5" x14ac:dyDescent="0.2">
      <c r="A819" s="140"/>
      <c r="B819" s="172" t="s">
        <v>2339</v>
      </c>
      <c r="C819" s="154" t="s">
        <v>1238</v>
      </c>
      <c r="D819" s="191" t="s">
        <v>1800</v>
      </c>
      <c r="E819" s="155" t="s">
        <v>57</v>
      </c>
      <c r="F819" s="156">
        <v>1.03</v>
      </c>
      <c r="G819" s="428">
        <v>262.83050000000003</v>
      </c>
      <c r="H819" s="429" t="e">
        <v>#N/A</v>
      </c>
      <c r="I819" s="430">
        <v>270.72000000000003</v>
      </c>
      <c r="J819" s="431"/>
    </row>
    <row r="820" spans="1:10" ht="25.5" x14ac:dyDescent="0.2">
      <c r="A820" s="140"/>
      <c r="B820" s="157" t="s">
        <v>2339</v>
      </c>
      <c r="C820" s="158" t="s">
        <v>1240</v>
      </c>
      <c r="D820" s="196" t="s">
        <v>1803</v>
      </c>
      <c r="E820" s="159" t="s">
        <v>1</v>
      </c>
      <c r="F820" s="160">
        <v>1.6</v>
      </c>
      <c r="G820" s="432">
        <v>8.3336500000000004</v>
      </c>
      <c r="H820" s="433" t="e">
        <v>#N/A</v>
      </c>
      <c r="I820" s="434">
        <v>13.33</v>
      </c>
      <c r="J820" s="435"/>
    </row>
    <row r="821" spans="1:10" x14ac:dyDescent="0.2">
      <c r="A821" s="140"/>
      <c r="B821" s="157" t="s">
        <v>31</v>
      </c>
      <c r="C821" s="158">
        <v>37595</v>
      </c>
      <c r="D821" s="196" t="s">
        <v>1305</v>
      </c>
      <c r="E821" s="159" t="s">
        <v>1</v>
      </c>
      <c r="F821" s="160">
        <v>15</v>
      </c>
      <c r="G821" s="432">
        <v>2.15</v>
      </c>
      <c r="H821" s="433" t="e">
        <v>#N/A</v>
      </c>
      <c r="I821" s="434">
        <v>32.25</v>
      </c>
      <c r="J821" s="435"/>
    </row>
    <row r="822" spans="1:10" x14ac:dyDescent="0.2">
      <c r="A822" s="140"/>
      <c r="B822" s="157"/>
      <c r="C822" s="158"/>
      <c r="D822" s="196"/>
      <c r="E822" s="159"/>
      <c r="F822" s="160"/>
      <c r="G822" s="432"/>
      <c r="H822" s="433"/>
      <c r="I822" s="434"/>
      <c r="J822" s="435"/>
    </row>
    <row r="823" spans="1:10" ht="17.45" customHeight="1" x14ac:dyDescent="0.2">
      <c r="A823" s="140"/>
      <c r="B823" s="175"/>
      <c r="C823" s="248"/>
      <c r="D823" s="199"/>
      <c r="E823" s="163"/>
      <c r="F823" s="163"/>
      <c r="G823" s="456"/>
      <c r="H823" s="457"/>
      <c r="I823" s="458"/>
      <c r="J823" s="459"/>
    </row>
    <row r="824" spans="1:10" ht="17.45" customHeight="1" x14ac:dyDescent="0.2">
      <c r="A824" s="136"/>
      <c r="B824" s="439" t="s">
        <v>13</v>
      </c>
      <c r="C824" s="440"/>
      <c r="D824" s="441"/>
      <c r="E824" s="441"/>
      <c r="F824" s="441"/>
      <c r="G824" s="441"/>
      <c r="H824" s="441"/>
      <c r="I824" s="446">
        <v>316.3</v>
      </c>
      <c r="J824" s="447"/>
    </row>
    <row r="825" spans="1:10" ht="17.45" customHeight="1" x14ac:dyDescent="0.2">
      <c r="A825" s="148"/>
      <c r="B825" s="270"/>
      <c r="C825" s="271"/>
      <c r="D825" s="460" t="s">
        <v>14</v>
      </c>
      <c r="E825" s="460"/>
      <c r="F825" s="460"/>
      <c r="G825" s="460"/>
      <c r="H825" s="460"/>
      <c r="I825" s="460"/>
      <c r="J825" s="461"/>
    </row>
    <row r="826" spans="1:10" ht="30" customHeight="1" x14ac:dyDescent="0.2">
      <c r="A826" s="140"/>
      <c r="B826" s="170" t="s">
        <v>29</v>
      </c>
      <c r="C826" s="176"/>
      <c r="D826" s="198" t="s">
        <v>7</v>
      </c>
      <c r="E826" s="171" t="s">
        <v>0</v>
      </c>
      <c r="F826" s="171" t="s">
        <v>10</v>
      </c>
      <c r="G826" s="462" t="s">
        <v>11</v>
      </c>
      <c r="H826" s="462"/>
      <c r="I826" s="462" t="s">
        <v>12</v>
      </c>
      <c r="J826" s="463"/>
    </row>
    <row r="827" spans="1:10" x14ac:dyDescent="0.2">
      <c r="A827" s="140"/>
      <c r="B827" s="153"/>
      <c r="C827" s="154"/>
      <c r="D827" s="191"/>
      <c r="E827" s="155"/>
      <c r="F827" s="156"/>
      <c r="G827" s="428"/>
      <c r="H827" s="429"/>
      <c r="I827" s="430"/>
      <c r="J827" s="431"/>
    </row>
    <row r="828" spans="1:10" x14ac:dyDescent="0.2">
      <c r="A828" s="140"/>
      <c r="B828" s="157"/>
      <c r="C828" s="158"/>
      <c r="D828" s="196"/>
      <c r="E828" s="159"/>
      <c r="F828" s="160"/>
      <c r="G828" s="432"/>
      <c r="H828" s="433"/>
      <c r="I828" s="434"/>
      <c r="J828" s="435"/>
    </row>
    <row r="829" spans="1:10" ht="17.45" customHeight="1" x14ac:dyDescent="0.2">
      <c r="A829" s="140"/>
      <c r="B829" s="175"/>
      <c r="C829" s="162"/>
      <c r="D829" s="199"/>
      <c r="E829" s="163"/>
      <c r="F829" s="177"/>
      <c r="G829" s="436"/>
      <c r="H829" s="437"/>
      <c r="I829" s="436"/>
      <c r="J829" s="438"/>
    </row>
    <row r="830" spans="1:10" ht="17.45" customHeight="1" x14ac:dyDescent="0.2">
      <c r="A830" s="136"/>
      <c r="B830" s="439" t="s">
        <v>15</v>
      </c>
      <c r="C830" s="440"/>
      <c r="D830" s="441"/>
      <c r="E830" s="441"/>
      <c r="F830" s="441"/>
      <c r="G830" s="441"/>
      <c r="H830" s="441"/>
      <c r="I830" s="442">
        <v>0</v>
      </c>
      <c r="J830" s="443"/>
    </row>
    <row r="831" spans="1:10" ht="17.45" customHeight="1" x14ac:dyDescent="0.2">
      <c r="A831" s="136"/>
      <c r="B831" s="439" t="s">
        <v>16</v>
      </c>
      <c r="C831" s="440"/>
      <c r="D831" s="441"/>
      <c r="E831" s="441"/>
      <c r="F831" s="441"/>
      <c r="G831" s="441"/>
      <c r="H831" s="441"/>
      <c r="I831" s="444">
        <v>444.51</v>
      </c>
      <c r="J831" s="445"/>
    </row>
    <row r="832" spans="1:10" ht="17.45" customHeight="1" x14ac:dyDescent="0.2">
      <c r="A832" s="140"/>
      <c r="B832" s="178"/>
      <c r="C832" s="179"/>
      <c r="D832" s="193" t="s">
        <v>17</v>
      </c>
      <c r="E832" s="180"/>
      <c r="F832" s="164">
        <v>0</v>
      </c>
      <c r="G832" s="272"/>
      <c r="H832" s="272"/>
      <c r="I832" s="446">
        <v>0</v>
      </c>
      <c r="J832" s="447"/>
    </row>
    <row r="833" spans="1:13" ht="17.45" customHeight="1" x14ac:dyDescent="0.2">
      <c r="A833" s="136"/>
      <c r="B833" s="439" t="s">
        <v>18</v>
      </c>
      <c r="C833" s="440"/>
      <c r="D833" s="441"/>
      <c r="E833" s="441"/>
      <c r="F833" s="441"/>
      <c r="G833" s="441"/>
      <c r="H833" s="441"/>
      <c r="I833" s="448">
        <v>444.51</v>
      </c>
      <c r="J833" s="449"/>
    </row>
    <row r="834" spans="1:13" ht="17.45" customHeight="1" x14ac:dyDescent="0.2">
      <c r="A834" s="141"/>
      <c r="B834" s="450" t="s">
        <v>1308</v>
      </c>
      <c r="C834" s="451"/>
      <c r="D834" s="451"/>
      <c r="E834" s="451"/>
      <c r="F834" s="451"/>
      <c r="G834" s="451"/>
      <c r="H834" s="451"/>
      <c r="I834" s="451"/>
      <c r="J834" s="452"/>
    </row>
    <row r="835" spans="1:13" ht="17.45" customHeight="1" thickBot="1" x14ac:dyDescent="0.25">
      <c r="A835" s="140"/>
      <c r="B835" s="453"/>
      <c r="C835" s="454"/>
      <c r="D835" s="454"/>
      <c r="E835" s="454"/>
      <c r="F835" s="454"/>
      <c r="G835" s="454"/>
      <c r="H835" s="454"/>
      <c r="I835" s="454"/>
      <c r="J835" s="455"/>
    </row>
    <row r="836" spans="1:13" ht="13.5" thickBot="1" x14ac:dyDescent="0.25"/>
    <row r="837" spans="1:13" ht="17.45" customHeight="1" x14ac:dyDescent="0.2">
      <c r="A837" s="136"/>
      <c r="B837" s="476" t="s">
        <v>25</v>
      </c>
      <c r="C837" s="477"/>
      <c r="D837" s="477"/>
      <c r="E837" s="477"/>
      <c r="F837" s="477"/>
      <c r="G837" s="477"/>
      <c r="H837" s="477"/>
      <c r="I837" s="477"/>
      <c r="J837" s="478"/>
      <c r="K837" s="190"/>
      <c r="L837" s="137"/>
    </row>
    <row r="838" spans="1:13" ht="17.45" customHeight="1" x14ac:dyDescent="0.2">
      <c r="A838" s="141"/>
      <c r="B838" s="144" t="s">
        <v>43</v>
      </c>
      <c r="C838" s="273" t="s">
        <v>108</v>
      </c>
      <c r="D838" s="193"/>
      <c r="E838" s="272"/>
      <c r="F838" s="143" t="s">
        <v>113</v>
      </c>
      <c r="G838" s="479"/>
      <c r="H838" s="479"/>
      <c r="I838" s="145"/>
      <c r="J838" s="249">
        <v>44682</v>
      </c>
      <c r="K838" s="190"/>
      <c r="L838" s="137"/>
    </row>
    <row r="839" spans="1:13" ht="31.5" customHeight="1" x14ac:dyDescent="0.2">
      <c r="A839" s="141"/>
      <c r="B839" s="144" t="s">
        <v>4</v>
      </c>
      <c r="C839" s="480" t="s">
        <v>1798</v>
      </c>
      <c r="D839" s="480" t="e">
        <v>#N/A</v>
      </c>
      <c r="E839" s="480" t="e">
        <v>#N/A</v>
      </c>
      <c r="F839" s="480" t="e">
        <v>#N/A</v>
      </c>
      <c r="G839" s="480" t="e">
        <v>#N/A</v>
      </c>
      <c r="H839" s="480" t="e">
        <v>#N/A</v>
      </c>
      <c r="I839" s="480" t="e">
        <v>#N/A</v>
      </c>
      <c r="J839" s="481" t="e">
        <v>#N/A</v>
      </c>
      <c r="K839" s="185" t="s">
        <v>114</v>
      </c>
      <c r="L839" s="186" t="s">
        <v>89</v>
      </c>
      <c r="M839" s="187" t="s">
        <v>115</v>
      </c>
    </row>
    <row r="840" spans="1:13" ht="17.45" customHeight="1" x14ac:dyDescent="0.2">
      <c r="A840" s="140" t="s">
        <v>1290</v>
      </c>
      <c r="B840" s="146" t="s">
        <v>46</v>
      </c>
      <c r="C840" s="271" t="s">
        <v>1290</v>
      </c>
      <c r="D840" s="194" t="s">
        <v>45</v>
      </c>
      <c r="E840" s="482" t="s">
        <v>168</v>
      </c>
      <c r="F840" s="482"/>
      <c r="G840" s="482"/>
      <c r="H840" s="483"/>
      <c r="I840" s="181" t="s">
        <v>116</v>
      </c>
      <c r="J840" s="183" t="s">
        <v>2</v>
      </c>
      <c r="K840" s="184">
        <v>50</v>
      </c>
      <c r="L840" s="188">
        <v>53.91</v>
      </c>
      <c r="M840" s="189">
        <v>0</v>
      </c>
    </row>
    <row r="841" spans="1:13" ht="17.45" customHeight="1" x14ac:dyDescent="0.2">
      <c r="A841" s="148"/>
      <c r="B841" s="270"/>
      <c r="C841" s="179" t="s">
        <v>1247</v>
      </c>
      <c r="D841" s="484" t="s">
        <v>6</v>
      </c>
      <c r="E841" s="485"/>
      <c r="F841" s="485"/>
      <c r="G841" s="486"/>
      <c r="H841" s="485"/>
      <c r="I841" s="485"/>
      <c r="J841" s="487"/>
      <c r="K841" s="182"/>
    </row>
    <row r="842" spans="1:13" ht="15" customHeight="1" x14ac:dyDescent="0.2">
      <c r="A842" s="140"/>
      <c r="B842" s="150" t="s">
        <v>29</v>
      </c>
      <c r="C842" s="151" t="s">
        <v>66</v>
      </c>
      <c r="D842" s="195" t="s">
        <v>7</v>
      </c>
      <c r="E842" s="152" t="s">
        <v>30</v>
      </c>
      <c r="F842" s="152" t="s">
        <v>112</v>
      </c>
      <c r="G842" s="488" t="s">
        <v>110</v>
      </c>
      <c r="H842" s="489"/>
      <c r="I842" s="488" t="s">
        <v>111</v>
      </c>
      <c r="J842" s="490"/>
      <c r="K842" s="182"/>
    </row>
    <row r="843" spans="1:13" ht="25.5" x14ac:dyDescent="0.2">
      <c r="A843" s="140"/>
      <c r="B843" s="172" t="s">
        <v>2339</v>
      </c>
      <c r="C843" s="154" t="s">
        <v>1241</v>
      </c>
      <c r="D843" s="191" t="s">
        <v>1802</v>
      </c>
      <c r="E843" s="155" t="s">
        <v>57</v>
      </c>
      <c r="F843" s="156">
        <v>1</v>
      </c>
      <c r="G843" s="428">
        <v>50</v>
      </c>
      <c r="H843" s="429" t="e">
        <v>#N/A</v>
      </c>
      <c r="I843" s="430">
        <v>50</v>
      </c>
      <c r="J843" s="431"/>
    </row>
    <row r="844" spans="1:13" ht="17.45" customHeight="1" x14ac:dyDescent="0.2">
      <c r="A844" s="140"/>
      <c r="B844" s="161"/>
      <c r="C844" s="162"/>
      <c r="D844" s="197"/>
      <c r="E844" s="163"/>
      <c r="F844" s="163"/>
      <c r="G844" s="456"/>
      <c r="H844" s="457"/>
      <c r="I844" s="464"/>
      <c r="J844" s="465"/>
    </row>
    <row r="845" spans="1:13" ht="17.45" customHeight="1" x14ac:dyDescent="0.2">
      <c r="A845" s="136"/>
      <c r="B845" s="466" t="s">
        <v>44</v>
      </c>
      <c r="C845" s="467"/>
      <c r="D845" s="468"/>
      <c r="E845" s="468"/>
      <c r="F845" s="468"/>
      <c r="G845" s="468"/>
      <c r="H845" s="468"/>
      <c r="I845" s="469">
        <v>50</v>
      </c>
      <c r="J845" s="470"/>
    </row>
    <row r="846" spans="1:13" ht="17.45" customHeight="1" x14ac:dyDescent="0.2">
      <c r="A846" s="136"/>
      <c r="B846" s="466" t="s">
        <v>117</v>
      </c>
      <c r="C846" s="467"/>
      <c r="D846" s="468"/>
      <c r="E846" s="468"/>
      <c r="F846" s="164"/>
      <c r="G846" s="276"/>
      <c r="H846" s="274"/>
      <c r="I846" s="471">
        <v>0</v>
      </c>
      <c r="J846" s="472"/>
    </row>
    <row r="847" spans="1:13" ht="17.45" customHeight="1" x14ac:dyDescent="0.2">
      <c r="A847" s="136"/>
      <c r="B847" s="439" t="s">
        <v>8</v>
      </c>
      <c r="C847" s="440"/>
      <c r="D847" s="441"/>
      <c r="E847" s="441"/>
      <c r="F847" s="441"/>
      <c r="G847" s="441"/>
      <c r="H847" s="441"/>
      <c r="I847" s="473">
        <v>50</v>
      </c>
      <c r="J847" s="474"/>
    </row>
    <row r="848" spans="1:13" ht="17.45" customHeight="1" x14ac:dyDescent="0.2">
      <c r="A848" s="148"/>
      <c r="B848" s="275"/>
      <c r="C848" s="142"/>
      <c r="D848" s="475" t="s">
        <v>9</v>
      </c>
      <c r="E848" s="475"/>
      <c r="F848" s="460"/>
      <c r="G848" s="460"/>
      <c r="H848" s="460"/>
      <c r="I848" s="460"/>
      <c r="J848" s="461"/>
    </row>
    <row r="849" spans="1:10" ht="30" customHeight="1" x14ac:dyDescent="0.2">
      <c r="A849" s="140"/>
      <c r="B849" s="170" t="s">
        <v>29</v>
      </c>
      <c r="C849" s="151" t="s">
        <v>66</v>
      </c>
      <c r="D849" s="198" t="s">
        <v>7</v>
      </c>
      <c r="E849" s="171" t="s">
        <v>0</v>
      </c>
      <c r="F849" s="171" t="s">
        <v>10</v>
      </c>
      <c r="G849" s="462" t="s">
        <v>11</v>
      </c>
      <c r="H849" s="462"/>
      <c r="I849" s="462" t="s">
        <v>12</v>
      </c>
      <c r="J849" s="463"/>
    </row>
    <row r="850" spans="1:10" ht="38.25" x14ac:dyDescent="0.2">
      <c r="A850" s="140"/>
      <c r="B850" s="172" t="s">
        <v>2339</v>
      </c>
      <c r="C850" s="154" t="s">
        <v>1239</v>
      </c>
      <c r="D850" s="191" t="s">
        <v>1801</v>
      </c>
      <c r="E850" s="155" t="s">
        <v>2</v>
      </c>
      <c r="F850" s="156">
        <v>1.03</v>
      </c>
      <c r="G850" s="428">
        <v>50.001899999999999</v>
      </c>
      <c r="H850" s="429" t="e">
        <v>#N/A</v>
      </c>
      <c r="I850" s="430">
        <v>51.5</v>
      </c>
      <c r="J850" s="431"/>
    </row>
    <row r="851" spans="1:10" ht="25.5" x14ac:dyDescent="0.2">
      <c r="A851" s="140"/>
      <c r="B851" s="157" t="s">
        <v>2339</v>
      </c>
      <c r="C851" s="158" t="s">
        <v>1240</v>
      </c>
      <c r="D851" s="196" t="s">
        <v>1803</v>
      </c>
      <c r="E851" s="159" t="s">
        <v>1</v>
      </c>
      <c r="F851" s="160">
        <v>0.16000000000000003</v>
      </c>
      <c r="G851" s="432">
        <v>8.3336500000000004</v>
      </c>
      <c r="H851" s="433" t="e">
        <v>#N/A</v>
      </c>
      <c r="I851" s="434">
        <v>1.33</v>
      </c>
      <c r="J851" s="435"/>
    </row>
    <row r="852" spans="1:10" x14ac:dyDescent="0.2">
      <c r="A852" s="140"/>
      <c r="B852" s="157" t="s">
        <v>31</v>
      </c>
      <c r="C852" s="158">
        <v>37595</v>
      </c>
      <c r="D852" s="196" t="s">
        <v>1305</v>
      </c>
      <c r="E852" s="159" t="s">
        <v>1</v>
      </c>
      <c r="F852" s="160">
        <v>0.5</v>
      </c>
      <c r="G852" s="432">
        <v>2.15</v>
      </c>
      <c r="H852" s="433" t="e">
        <v>#N/A</v>
      </c>
      <c r="I852" s="434">
        <v>1.08</v>
      </c>
      <c r="J852" s="435"/>
    </row>
    <row r="853" spans="1:10" x14ac:dyDescent="0.2">
      <c r="A853" s="140"/>
      <c r="B853" s="157"/>
      <c r="C853" s="158"/>
      <c r="D853" s="196"/>
      <c r="E853" s="159"/>
      <c r="F853" s="160"/>
      <c r="G853" s="432"/>
      <c r="H853" s="433"/>
      <c r="I853" s="434"/>
      <c r="J853" s="435"/>
    </row>
    <row r="854" spans="1:10" ht="17.45" customHeight="1" x14ac:dyDescent="0.2">
      <c r="A854" s="140"/>
      <c r="B854" s="175"/>
      <c r="C854" s="248"/>
      <c r="D854" s="199"/>
      <c r="E854" s="163"/>
      <c r="F854" s="163"/>
      <c r="G854" s="456"/>
      <c r="H854" s="457"/>
      <c r="I854" s="458"/>
      <c r="J854" s="459"/>
    </row>
    <row r="855" spans="1:10" ht="17.45" customHeight="1" x14ac:dyDescent="0.2">
      <c r="A855" s="136"/>
      <c r="B855" s="439" t="s">
        <v>13</v>
      </c>
      <c r="C855" s="440"/>
      <c r="D855" s="441"/>
      <c r="E855" s="441"/>
      <c r="F855" s="441"/>
      <c r="G855" s="441"/>
      <c r="H855" s="441"/>
      <c r="I855" s="446">
        <v>53.91</v>
      </c>
      <c r="J855" s="447"/>
    </row>
    <row r="856" spans="1:10" ht="17.45" customHeight="1" x14ac:dyDescent="0.2">
      <c r="A856" s="148"/>
      <c r="B856" s="270"/>
      <c r="C856" s="271"/>
      <c r="D856" s="460" t="s">
        <v>14</v>
      </c>
      <c r="E856" s="460"/>
      <c r="F856" s="460"/>
      <c r="G856" s="460"/>
      <c r="H856" s="460"/>
      <c r="I856" s="460"/>
      <c r="J856" s="461"/>
    </row>
    <row r="857" spans="1:10" ht="30" customHeight="1" x14ac:dyDescent="0.2">
      <c r="A857" s="140"/>
      <c r="B857" s="170" t="s">
        <v>29</v>
      </c>
      <c r="C857" s="176"/>
      <c r="D857" s="198" t="s">
        <v>7</v>
      </c>
      <c r="E857" s="171" t="s">
        <v>0</v>
      </c>
      <c r="F857" s="171" t="s">
        <v>10</v>
      </c>
      <c r="G857" s="462" t="s">
        <v>11</v>
      </c>
      <c r="H857" s="462"/>
      <c r="I857" s="462" t="s">
        <v>12</v>
      </c>
      <c r="J857" s="463"/>
    </row>
    <row r="858" spans="1:10" x14ac:dyDescent="0.2">
      <c r="A858" s="140"/>
      <c r="B858" s="153"/>
      <c r="C858" s="154"/>
      <c r="D858" s="191"/>
      <c r="E858" s="155"/>
      <c r="F858" s="156"/>
      <c r="G858" s="428"/>
      <c r="H858" s="429"/>
      <c r="I858" s="430"/>
      <c r="J858" s="431"/>
    </row>
    <row r="859" spans="1:10" x14ac:dyDescent="0.2">
      <c r="A859" s="140"/>
      <c r="B859" s="157"/>
      <c r="C859" s="158"/>
      <c r="D859" s="196"/>
      <c r="E859" s="159"/>
      <c r="F859" s="160"/>
      <c r="G859" s="432"/>
      <c r="H859" s="433"/>
      <c r="I859" s="434"/>
      <c r="J859" s="435"/>
    </row>
    <row r="860" spans="1:10" ht="17.45" customHeight="1" x14ac:dyDescent="0.2">
      <c r="A860" s="140"/>
      <c r="B860" s="175"/>
      <c r="C860" s="162"/>
      <c r="D860" s="199"/>
      <c r="E860" s="163"/>
      <c r="F860" s="177"/>
      <c r="G860" s="436"/>
      <c r="H860" s="437"/>
      <c r="I860" s="436"/>
      <c r="J860" s="438"/>
    </row>
    <row r="861" spans="1:10" ht="17.45" customHeight="1" x14ac:dyDescent="0.2">
      <c r="A861" s="136"/>
      <c r="B861" s="439" t="s">
        <v>15</v>
      </c>
      <c r="C861" s="440"/>
      <c r="D861" s="441"/>
      <c r="E861" s="441"/>
      <c r="F861" s="441"/>
      <c r="G861" s="441"/>
      <c r="H861" s="441"/>
      <c r="I861" s="442">
        <v>0</v>
      </c>
      <c r="J861" s="443"/>
    </row>
    <row r="862" spans="1:10" ht="17.45" customHeight="1" x14ac:dyDescent="0.2">
      <c r="A862" s="136"/>
      <c r="B862" s="439" t="s">
        <v>16</v>
      </c>
      <c r="C862" s="440"/>
      <c r="D862" s="441"/>
      <c r="E862" s="441"/>
      <c r="F862" s="441"/>
      <c r="G862" s="441"/>
      <c r="H862" s="441"/>
      <c r="I862" s="444">
        <v>103.91</v>
      </c>
      <c r="J862" s="445"/>
    </row>
    <row r="863" spans="1:10" ht="17.45" customHeight="1" x14ac:dyDescent="0.2">
      <c r="A863" s="140"/>
      <c r="B863" s="178"/>
      <c r="C863" s="179"/>
      <c r="D863" s="193" t="s">
        <v>17</v>
      </c>
      <c r="E863" s="180"/>
      <c r="F863" s="164">
        <v>0</v>
      </c>
      <c r="G863" s="272"/>
      <c r="H863" s="272"/>
      <c r="I863" s="446">
        <v>0</v>
      </c>
      <c r="J863" s="447"/>
    </row>
    <row r="864" spans="1:10" ht="17.45" customHeight="1" x14ac:dyDescent="0.2">
      <c r="A864" s="136"/>
      <c r="B864" s="439" t="s">
        <v>18</v>
      </c>
      <c r="C864" s="440"/>
      <c r="D864" s="441"/>
      <c r="E864" s="441"/>
      <c r="F864" s="441"/>
      <c r="G864" s="441"/>
      <c r="H864" s="441"/>
      <c r="I864" s="448">
        <v>103.91</v>
      </c>
      <c r="J864" s="449"/>
    </row>
    <row r="865" spans="1:13" ht="17.45" customHeight="1" x14ac:dyDescent="0.2">
      <c r="A865" s="141"/>
      <c r="B865" s="450" t="s">
        <v>1308</v>
      </c>
      <c r="C865" s="451"/>
      <c r="D865" s="451"/>
      <c r="E865" s="451"/>
      <c r="F865" s="451"/>
      <c r="G865" s="451"/>
      <c r="H865" s="451"/>
      <c r="I865" s="451"/>
      <c r="J865" s="452"/>
    </row>
    <row r="866" spans="1:13" ht="17.45" customHeight="1" thickBot="1" x14ac:dyDescent="0.25">
      <c r="A866" s="140"/>
      <c r="B866" s="453"/>
      <c r="C866" s="454"/>
      <c r="D866" s="454"/>
      <c r="E866" s="454"/>
      <c r="F866" s="454"/>
      <c r="G866" s="454"/>
      <c r="H866" s="454"/>
      <c r="I866" s="454"/>
      <c r="J866" s="455"/>
    </row>
    <row r="867" spans="1:13" ht="13.5" thickBot="1" x14ac:dyDescent="0.25"/>
    <row r="868" spans="1:13" ht="17.45" customHeight="1" x14ac:dyDescent="0.2">
      <c r="A868" s="136"/>
      <c r="B868" s="476" t="s">
        <v>25</v>
      </c>
      <c r="C868" s="477"/>
      <c r="D868" s="477"/>
      <c r="E868" s="477"/>
      <c r="F868" s="477"/>
      <c r="G868" s="477"/>
      <c r="H868" s="477"/>
      <c r="I868" s="477"/>
      <c r="J868" s="478"/>
      <c r="K868" s="190"/>
      <c r="L868" s="137"/>
    </row>
    <row r="869" spans="1:13" ht="17.45" customHeight="1" x14ac:dyDescent="0.2">
      <c r="A869" s="141"/>
      <c r="B869" s="144" t="s">
        <v>43</v>
      </c>
      <c r="C869" s="273" t="s">
        <v>108</v>
      </c>
      <c r="D869" s="193"/>
      <c r="E869" s="272"/>
      <c r="F869" s="143" t="s">
        <v>113</v>
      </c>
      <c r="G869" s="479"/>
      <c r="H869" s="479"/>
      <c r="I869" s="145"/>
      <c r="J869" s="249">
        <v>44682</v>
      </c>
      <c r="K869" s="190"/>
      <c r="L869" s="137"/>
    </row>
    <row r="870" spans="1:13" ht="31.5" customHeight="1" x14ac:dyDescent="0.2">
      <c r="A870" s="141"/>
      <c r="B870" s="144" t="s">
        <v>4</v>
      </c>
      <c r="C870" s="480" t="s">
        <v>1814</v>
      </c>
      <c r="D870" s="480" t="e">
        <v>#N/A</v>
      </c>
      <c r="E870" s="480" t="e">
        <v>#N/A</v>
      </c>
      <c r="F870" s="480" t="e">
        <v>#N/A</v>
      </c>
      <c r="G870" s="480" t="e">
        <v>#N/A</v>
      </c>
      <c r="H870" s="480" t="e">
        <v>#N/A</v>
      </c>
      <c r="I870" s="480" t="e">
        <v>#N/A</v>
      </c>
      <c r="J870" s="481" t="e">
        <v>#N/A</v>
      </c>
      <c r="K870" s="185" t="s">
        <v>114</v>
      </c>
      <c r="L870" s="186" t="s">
        <v>89</v>
      </c>
      <c r="M870" s="187" t="s">
        <v>115</v>
      </c>
    </row>
    <row r="871" spans="1:13" ht="17.45" customHeight="1" x14ac:dyDescent="0.2">
      <c r="A871" s="140" t="s">
        <v>1291</v>
      </c>
      <c r="B871" s="146" t="s">
        <v>46</v>
      </c>
      <c r="C871" s="271" t="s">
        <v>1291</v>
      </c>
      <c r="D871" s="194" t="s">
        <v>45</v>
      </c>
      <c r="E871" s="482" t="s">
        <v>1815</v>
      </c>
      <c r="F871" s="482"/>
      <c r="G871" s="482"/>
      <c r="H871" s="483"/>
      <c r="I871" s="181" t="s">
        <v>116</v>
      </c>
      <c r="J871" s="183" t="s">
        <v>57</v>
      </c>
      <c r="K871" s="184">
        <v>12.85</v>
      </c>
      <c r="L871" s="188">
        <v>7.98</v>
      </c>
      <c r="M871" s="189">
        <v>0</v>
      </c>
    </row>
    <row r="872" spans="1:13" ht="17.45" customHeight="1" x14ac:dyDescent="0.2">
      <c r="A872" s="148"/>
      <c r="B872" s="270"/>
      <c r="C872" s="179" t="s">
        <v>1247</v>
      </c>
      <c r="D872" s="484" t="s">
        <v>6</v>
      </c>
      <c r="E872" s="485"/>
      <c r="F872" s="485"/>
      <c r="G872" s="486"/>
      <c r="H872" s="485"/>
      <c r="I872" s="485"/>
      <c r="J872" s="487"/>
      <c r="K872" s="182"/>
    </row>
    <row r="873" spans="1:13" ht="15" customHeight="1" x14ac:dyDescent="0.2">
      <c r="A873" s="140"/>
      <c r="B873" s="150" t="s">
        <v>29</v>
      </c>
      <c r="C873" s="151" t="s">
        <v>66</v>
      </c>
      <c r="D873" s="195" t="s">
        <v>7</v>
      </c>
      <c r="E873" s="152" t="s">
        <v>30</v>
      </c>
      <c r="F873" s="152" t="s">
        <v>112</v>
      </c>
      <c r="G873" s="488" t="s">
        <v>110</v>
      </c>
      <c r="H873" s="489"/>
      <c r="I873" s="488" t="s">
        <v>111</v>
      </c>
      <c r="J873" s="490"/>
      <c r="K873" s="182"/>
    </row>
    <row r="874" spans="1:13" ht="25.5" customHeight="1" x14ac:dyDescent="0.2">
      <c r="A874" s="140"/>
      <c r="B874" s="172" t="s">
        <v>100</v>
      </c>
      <c r="C874" s="154">
        <v>88316</v>
      </c>
      <c r="D874" s="191" t="s">
        <v>56</v>
      </c>
      <c r="E874" s="155" t="s">
        <v>48</v>
      </c>
      <c r="F874" s="156">
        <v>0.4</v>
      </c>
      <c r="G874" s="428">
        <v>32.119999999999997</v>
      </c>
      <c r="H874" s="429" t="e">
        <v>#N/A</v>
      </c>
      <c r="I874" s="430">
        <v>12.85</v>
      </c>
      <c r="J874" s="431"/>
    </row>
    <row r="875" spans="1:13" ht="17.45" customHeight="1" x14ac:dyDescent="0.2">
      <c r="A875" s="140"/>
      <c r="B875" s="161"/>
      <c r="C875" s="162"/>
      <c r="D875" s="197"/>
      <c r="E875" s="163"/>
      <c r="F875" s="163"/>
      <c r="G875" s="456"/>
      <c r="H875" s="457"/>
      <c r="I875" s="464"/>
      <c r="J875" s="465"/>
    </row>
    <row r="876" spans="1:13" ht="17.45" customHeight="1" x14ac:dyDescent="0.2">
      <c r="A876" s="136"/>
      <c r="B876" s="466" t="s">
        <v>44</v>
      </c>
      <c r="C876" s="467"/>
      <c r="D876" s="468"/>
      <c r="E876" s="468"/>
      <c r="F876" s="468"/>
      <c r="G876" s="468"/>
      <c r="H876" s="468"/>
      <c r="I876" s="469">
        <v>12.85</v>
      </c>
      <c r="J876" s="470"/>
    </row>
    <row r="877" spans="1:13" ht="17.45" customHeight="1" x14ac:dyDescent="0.2">
      <c r="A877" s="136"/>
      <c r="B877" s="466" t="s">
        <v>117</v>
      </c>
      <c r="C877" s="467"/>
      <c r="D877" s="468"/>
      <c r="E877" s="468"/>
      <c r="F877" s="164"/>
      <c r="G877" s="276"/>
      <c r="H877" s="274"/>
      <c r="I877" s="471">
        <v>0</v>
      </c>
      <c r="J877" s="472"/>
    </row>
    <row r="878" spans="1:13" ht="17.45" customHeight="1" x14ac:dyDescent="0.2">
      <c r="A878" s="136"/>
      <c r="B878" s="439" t="s">
        <v>8</v>
      </c>
      <c r="C878" s="440"/>
      <c r="D878" s="441"/>
      <c r="E878" s="441"/>
      <c r="F878" s="441"/>
      <c r="G878" s="441"/>
      <c r="H878" s="441"/>
      <c r="I878" s="473">
        <v>12.85</v>
      </c>
      <c r="J878" s="474"/>
    </row>
    <row r="879" spans="1:13" ht="17.45" customHeight="1" x14ac:dyDescent="0.2">
      <c r="A879" s="148"/>
      <c r="B879" s="275"/>
      <c r="C879" s="142"/>
      <c r="D879" s="475" t="s">
        <v>9</v>
      </c>
      <c r="E879" s="475"/>
      <c r="F879" s="460"/>
      <c r="G879" s="460"/>
      <c r="H879" s="460"/>
      <c r="I879" s="460"/>
      <c r="J879" s="461"/>
    </row>
    <row r="880" spans="1:13" ht="30" customHeight="1" x14ac:dyDescent="0.2">
      <c r="A880" s="140"/>
      <c r="B880" s="170" t="s">
        <v>29</v>
      </c>
      <c r="C880" s="151" t="s">
        <v>66</v>
      </c>
      <c r="D880" s="198" t="s">
        <v>7</v>
      </c>
      <c r="E880" s="171" t="s">
        <v>0</v>
      </c>
      <c r="F880" s="171" t="s">
        <v>10</v>
      </c>
      <c r="G880" s="462" t="s">
        <v>11</v>
      </c>
      <c r="H880" s="462"/>
      <c r="I880" s="462" t="s">
        <v>12</v>
      </c>
      <c r="J880" s="463"/>
    </row>
    <row r="881" spans="1:10" ht="25.5" x14ac:dyDescent="0.2">
      <c r="A881" s="140"/>
      <c r="B881" s="172" t="s">
        <v>31</v>
      </c>
      <c r="C881" s="154">
        <v>7319</v>
      </c>
      <c r="D881" s="191" t="s">
        <v>1816</v>
      </c>
      <c r="E881" s="155" t="s">
        <v>64</v>
      </c>
      <c r="F881" s="156">
        <v>0.5</v>
      </c>
      <c r="G881" s="428">
        <v>15.95</v>
      </c>
      <c r="H881" s="429" t="e">
        <v>#N/A</v>
      </c>
      <c r="I881" s="430">
        <v>7.98</v>
      </c>
      <c r="J881" s="431"/>
    </row>
    <row r="882" spans="1:10" x14ac:dyDescent="0.2">
      <c r="A882" s="140"/>
      <c r="B882" s="157"/>
      <c r="C882" s="158"/>
      <c r="D882" s="196"/>
      <c r="E882" s="159"/>
      <c r="F882" s="160"/>
      <c r="G882" s="432"/>
      <c r="H882" s="433"/>
      <c r="I882" s="434"/>
      <c r="J882" s="435"/>
    </row>
    <row r="883" spans="1:10" x14ac:dyDescent="0.2">
      <c r="A883" s="140"/>
      <c r="B883" s="157"/>
      <c r="C883" s="158"/>
      <c r="D883" s="196"/>
      <c r="E883" s="159"/>
      <c r="F883" s="160"/>
      <c r="G883" s="432"/>
      <c r="H883" s="433"/>
      <c r="I883" s="434"/>
      <c r="J883" s="435"/>
    </row>
    <row r="884" spans="1:10" x14ac:dyDescent="0.2">
      <c r="A884" s="140"/>
      <c r="B884" s="157"/>
      <c r="C884" s="158"/>
      <c r="D884" s="196"/>
      <c r="E884" s="159"/>
      <c r="F884" s="160"/>
      <c r="G884" s="432"/>
      <c r="H884" s="433"/>
      <c r="I884" s="434"/>
      <c r="J884" s="435"/>
    </row>
    <row r="885" spans="1:10" ht="17.45" customHeight="1" x14ac:dyDescent="0.2">
      <c r="A885" s="140"/>
      <c r="B885" s="175"/>
      <c r="C885" s="248"/>
      <c r="D885" s="199"/>
      <c r="E885" s="163"/>
      <c r="F885" s="163"/>
      <c r="G885" s="456"/>
      <c r="H885" s="457"/>
      <c r="I885" s="458"/>
      <c r="J885" s="459"/>
    </row>
    <row r="886" spans="1:10" ht="17.45" customHeight="1" x14ac:dyDescent="0.2">
      <c r="A886" s="136"/>
      <c r="B886" s="439" t="s">
        <v>13</v>
      </c>
      <c r="C886" s="440"/>
      <c r="D886" s="441"/>
      <c r="E886" s="441"/>
      <c r="F886" s="441"/>
      <c r="G886" s="441"/>
      <c r="H886" s="441"/>
      <c r="I886" s="446">
        <v>7.98</v>
      </c>
      <c r="J886" s="447"/>
    </row>
    <row r="887" spans="1:10" ht="17.45" customHeight="1" x14ac:dyDescent="0.2">
      <c r="A887" s="148"/>
      <c r="B887" s="270"/>
      <c r="C887" s="271"/>
      <c r="D887" s="460" t="s">
        <v>14</v>
      </c>
      <c r="E887" s="460"/>
      <c r="F887" s="460"/>
      <c r="G887" s="460"/>
      <c r="H887" s="460"/>
      <c r="I887" s="460"/>
      <c r="J887" s="461"/>
    </row>
    <row r="888" spans="1:10" ht="30" customHeight="1" x14ac:dyDescent="0.2">
      <c r="A888" s="140"/>
      <c r="B888" s="170" t="s">
        <v>29</v>
      </c>
      <c r="C888" s="176"/>
      <c r="D888" s="198" t="s">
        <v>7</v>
      </c>
      <c r="E888" s="171" t="s">
        <v>0</v>
      </c>
      <c r="F888" s="171" t="s">
        <v>10</v>
      </c>
      <c r="G888" s="462" t="s">
        <v>11</v>
      </c>
      <c r="H888" s="462"/>
      <c r="I888" s="462" t="s">
        <v>12</v>
      </c>
      <c r="J888" s="463"/>
    </row>
    <row r="889" spans="1:10" x14ac:dyDescent="0.2">
      <c r="A889" s="140"/>
      <c r="B889" s="172"/>
      <c r="C889" s="154"/>
      <c r="D889" s="191"/>
      <c r="E889" s="155"/>
      <c r="F889" s="156"/>
      <c r="G889" s="428"/>
      <c r="H889" s="429"/>
      <c r="I889" s="430"/>
      <c r="J889" s="431"/>
    </row>
    <row r="890" spans="1:10" x14ac:dyDescent="0.2">
      <c r="A890" s="140"/>
      <c r="B890" s="157"/>
      <c r="C890" s="158"/>
      <c r="D890" s="196"/>
      <c r="E890" s="159"/>
      <c r="F890" s="160"/>
      <c r="G890" s="432"/>
      <c r="H890" s="433"/>
      <c r="I890" s="434"/>
      <c r="J890" s="435"/>
    </row>
    <row r="891" spans="1:10" ht="17.45" customHeight="1" x14ac:dyDescent="0.2">
      <c r="A891" s="140"/>
      <c r="B891" s="175"/>
      <c r="C891" s="162"/>
      <c r="D891" s="199"/>
      <c r="E891" s="163"/>
      <c r="F891" s="177"/>
      <c r="G891" s="436"/>
      <c r="H891" s="437"/>
      <c r="I891" s="436"/>
      <c r="J891" s="438"/>
    </row>
    <row r="892" spans="1:10" ht="17.45" customHeight="1" x14ac:dyDescent="0.2">
      <c r="A892" s="136"/>
      <c r="B892" s="439" t="s">
        <v>15</v>
      </c>
      <c r="C892" s="440"/>
      <c r="D892" s="441"/>
      <c r="E892" s="441"/>
      <c r="F892" s="441"/>
      <c r="G892" s="441"/>
      <c r="H892" s="441"/>
      <c r="I892" s="442">
        <v>0</v>
      </c>
      <c r="J892" s="443"/>
    </row>
    <row r="893" spans="1:10" ht="17.45" customHeight="1" x14ac:dyDescent="0.2">
      <c r="A893" s="136"/>
      <c r="B893" s="439" t="s">
        <v>16</v>
      </c>
      <c r="C893" s="440"/>
      <c r="D893" s="441"/>
      <c r="E893" s="441"/>
      <c r="F893" s="441"/>
      <c r="G893" s="441"/>
      <c r="H893" s="441"/>
      <c r="I893" s="444">
        <v>20.83</v>
      </c>
      <c r="J893" s="445"/>
    </row>
    <row r="894" spans="1:10" ht="17.45" customHeight="1" x14ac:dyDescent="0.2">
      <c r="A894" s="140"/>
      <c r="B894" s="178"/>
      <c r="C894" s="179"/>
      <c r="D894" s="193" t="s">
        <v>17</v>
      </c>
      <c r="E894" s="180"/>
      <c r="F894" s="164">
        <v>0</v>
      </c>
      <c r="G894" s="272"/>
      <c r="H894" s="272"/>
      <c r="I894" s="446">
        <v>0</v>
      </c>
      <c r="J894" s="447"/>
    </row>
    <row r="895" spans="1:10" ht="17.45" customHeight="1" x14ac:dyDescent="0.2">
      <c r="A895" s="136"/>
      <c r="B895" s="439" t="s">
        <v>18</v>
      </c>
      <c r="C895" s="440"/>
      <c r="D895" s="441"/>
      <c r="E895" s="441"/>
      <c r="F895" s="441"/>
      <c r="G895" s="441"/>
      <c r="H895" s="441"/>
      <c r="I895" s="448">
        <v>20.83</v>
      </c>
      <c r="J895" s="449"/>
    </row>
    <row r="896" spans="1:10" ht="17.45" customHeight="1" x14ac:dyDescent="0.2">
      <c r="A896" s="141"/>
      <c r="B896" s="450" t="s">
        <v>1818</v>
      </c>
      <c r="C896" s="451"/>
      <c r="D896" s="451"/>
      <c r="E896" s="451"/>
      <c r="F896" s="451"/>
      <c r="G896" s="451"/>
      <c r="H896" s="451"/>
      <c r="I896" s="451"/>
      <c r="J896" s="452"/>
    </row>
    <row r="897" spans="1:13" ht="17.45" customHeight="1" thickBot="1" x14ac:dyDescent="0.25">
      <c r="A897" s="140"/>
      <c r="B897" s="453"/>
      <c r="C897" s="454"/>
      <c r="D897" s="454"/>
      <c r="E897" s="454"/>
      <c r="F897" s="454"/>
      <c r="G897" s="454"/>
      <c r="H897" s="454"/>
      <c r="I897" s="454"/>
      <c r="J897" s="455"/>
    </row>
    <row r="898" spans="1:13" ht="13.5" thickBot="1" x14ac:dyDescent="0.25"/>
    <row r="899" spans="1:13" ht="17.45" customHeight="1" x14ac:dyDescent="0.2">
      <c r="A899" s="136"/>
      <c r="B899" s="476" t="s">
        <v>25</v>
      </c>
      <c r="C899" s="477"/>
      <c r="D899" s="477"/>
      <c r="E899" s="477"/>
      <c r="F899" s="477"/>
      <c r="G899" s="477"/>
      <c r="H899" s="477"/>
      <c r="I899" s="477"/>
      <c r="J899" s="478"/>
      <c r="K899" s="190"/>
      <c r="L899" s="137"/>
    </row>
    <row r="900" spans="1:13" ht="17.45" customHeight="1" x14ac:dyDescent="0.2">
      <c r="A900" s="141"/>
      <c r="B900" s="144" t="s">
        <v>43</v>
      </c>
      <c r="C900" s="273" t="s">
        <v>108</v>
      </c>
      <c r="D900" s="193"/>
      <c r="E900" s="272"/>
      <c r="F900" s="143" t="s">
        <v>113</v>
      </c>
      <c r="G900" s="479"/>
      <c r="H900" s="479"/>
      <c r="I900" s="145"/>
      <c r="J900" s="249">
        <v>44682</v>
      </c>
      <c r="K900" s="190"/>
      <c r="L900" s="137"/>
    </row>
    <row r="901" spans="1:13" ht="31.5" customHeight="1" x14ac:dyDescent="0.2">
      <c r="A901" s="141"/>
      <c r="B901" s="144" t="s">
        <v>4</v>
      </c>
      <c r="C901" s="480" t="s">
        <v>1822</v>
      </c>
      <c r="D901" s="480" t="e">
        <v>#N/A</v>
      </c>
      <c r="E901" s="480" t="e">
        <v>#N/A</v>
      </c>
      <c r="F901" s="480" t="e">
        <v>#N/A</v>
      </c>
      <c r="G901" s="480" t="e">
        <v>#N/A</v>
      </c>
      <c r="H901" s="480" t="e">
        <v>#N/A</v>
      </c>
      <c r="I901" s="480" t="e">
        <v>#N/A</v>
      </c>
      <c r="J901" s="481" t="e">
        <v>#N/A</v>
      </c>
      <c r="K901" s="185" t="s">
        <v>114</v>
      </c>
      <c r="L901" s="186" t="s">
        <v>89</v>
      </c>
      <c r="M901" s="187" t="s">
        <v>115</v>
      </c>
    </row>
    <row r="902" spans="1:13" ht="17.45" customHeight="1" x14ac:dyDescent="0.2">
      <c r="A902" s="140" t="s">
        <v>1292</v>
      </c>
      <c r="B902" s="146" t="s">
        <v>46</v>
      </c>
      <c r="C902" s="271" t="s">
        <v>1292</v>
      </c>
      <c r="D902" s="194" t="s">
        <v>45</v>
      </c>
      <c r="E902" s="482" t="s">
        <v>1815</v>
      </c>
      <c r="F902" s="482"/>
      <c r="G902" s="482"/>
      <c r="H902" s="483"/>
      <c r="I902" s="181" t="s">
        <v>116</v>
      </c>
      <c r="J902" s="183" t="s">
        <v>24</v>
      </c>
      <c r="K902" s="184">
        <v>7713.86</v>
      </c>
      <c r="L902" s="188">
        <v>10320.75</v>
      </c>
      <c r="M902" s="189">
        <v>17949.400000000001</v>
      </c>
    </row>
    <row r="903" spans="1:13" ht="17.45" customHeight="1" x14ac:dyDescent="0.2">
      <c r="A903" s="148"/>
      <c r="B903" s="270"/>
      <c r="C903" s="179" t="s">
        <v>1247</v>
      </c>
      <c r="D903" s="484" t="s">
        <v>6</v>
      </c>
      <c r="E903" s="485"/>
      <c r="F903" s="485"/>
      <c r="G903" s="486"/>
      <c r="H903" s="485"/>
      <c r="I903" s="485"/>
      <c r="J903" s="487"/>
      <c r="K903" s="182"/>
    </row>
    <row r="904" spans="1:13" ht="15" customHeight="1" x14ac:dyDescent="0.2">
      <c r="A904" s="140"/>
      <c r="B904" s="150" t="s">
        <v>29</v>
      </c>
      <c r="C904" s="151" t="s">
        <v>66</v>
      </c>
      <c r="D904" s="195" t="s">
        <v>7</v>
      </c>
      <c r="E904" s="152" t="s">
        <v>30</v>
      </c>
      <c r="F904" s="152" t="s">
        <v>112</v>
      </c>
      <c r="G904" s="488" t="s">
        <v>110</v>
      </c>
      <c r="H904" s="489"/>
      <c r="I904" s="488" t="s">
        <v>111</v>
      </c>
      <c r="J904" s="490"/>
      <c r="K904" s="182"/>
    </row>
    <row r="905" spans="1:13" ht="25.5" customHeight="1" x14ac:dyDescent="0.2">
      <c r="A905" s="140"/>
      <c r="B905" s="172" t="s">
        <v>100</v>
      </c>
      <c r="C905" s="154">
        <v>101435</v>
      </c>
      <c r="D905" s="191" t="s">
        <v>1823</v>
      </c>
      <c r="E905" s="155" t="s">
        <v>24</v>
      </c>
      <c r="F905" s="156">
        <v>1</v>
      </c>
      <c r="G905" s="428">
        <v>7713.86</v>
      </c>
      <c r="H905" s="429" t="e">
        <v>#N/A</v>
      </c>
      <c r="I905" s="430">
        <v>7713.86</v>
      </c>
      <c r="J905" s="431"/>
    </row>
    <row r="906" spans="1:13" ht="17.45" customHeight="1" x14ac:dyDescent="0.2">
      <c r="A906" s="140"/>
      <c r="B906" s="161"/>
      <c r="C906" s="162"/>
      <c r="D906" s="197"/>
      <c r="E906" s="163"/>
      <c r="F906" s="163"/>
      <c r="G906" s="456"/>
      <c r="H906" s="457"/>
      <c r="I906" s="464"/>
      <c r="J906" s="465"/>
    </row>
    <row r="907" spans="1:13" ht="17.45" customHeight="1" x14ac:dyDescent="0.2">
      <c r="A907" s="136"/>
      <c r="B907" s="466" t="s">
        <v>44</v>
      </c>
      <c r="C907" s="467"/>
      <c r="D907" s="468"/>
      <c r="E907" s="468"/>
      <c r="F907" s="468"/>
      <c r="G907" s="468"/>
      <c r="H907" s="468"/>
      <c r="I907" s="469">
        <v>7713.86</v>
      </c>
      <c r="J907" s="470"/>
    </row>
    <row r="908" spans="1:13" ht="17.45" customHeight="1" x14ac:dyDescent="0.2">
      <c r="A908" s="136"/>
      <c r="B908" s="466" t="s">
        <v>117</v>
      </c>
      <c r="C908" s="467"/>
      <c r="D908" s="468"/>
      <c r="E908" s="468"/>
      <c r="F908" s="164"/>
      <c r="G908" s="276"/>
      <c r="H908" s="274"/>
      <c r="I908" s="471">
        <v>0</v>
      </c>
      <c r="J908" s="472"/>
    </row>
    <row r="909" spans="1:13" ht="17.45" customHeight="1" x14ac:dyDescent="0.2">
      <c r="A909" s="136"/>
      <c r="B909" s="439" t="s">
        <v>8</v>
      </c>
      <c r="C909" s="440"/>
      <c r="D909" s="441"/>
      <c r="E909" s="441"/>
      <c r="F909" s="441"/>
      <c r="G909" s="441"/>
      <c r="H909" s="441"/>
      <c r="I909" s="473">
        <v>7713.86</v>
      </c>
      <c r="J909" s="474"/>
    </row>
    <row r="910" spans="1:13" ht="17.45" customHeight="1" x14ac:dyDescent="0.2">
      <c r="A910" s="148"/>
      <c r="B910" s="275"/>
      <c r="C910" s="142"/>
      <c r="D910" s="475" t="s">
        <v>9</v>
      </c>
      <c r="E910" s="475"/>
      <c r="F910" s="460"/>
      <c r="G910" s="460"/>
      <c r="H910" s="460"/>
      <c r="I910" s="460"/>
      <c r="J910" s="461"/>
    </row>
    <row r="911" spans="1:13" ht="30" customHeight="1" x14ac:dyDescent="0.2">
      <c r="A911" s="140"/>
      <c r="B911" s="170" t="s">
        <v>29</v>
      </c>
      <c r="C911" s="151" t="s">
        <v>66</v>
      </c>
      <c r="D911" s="198" t="s">
        <v>7</v>
      </c>
      <c r="E911" s="171" t="s">
        <v>0</v>
      </c>
      <c r="F911" s="171" t="s">
        <v>10</v>
      </c>
      <c r="G911" s="462" t="s">
        <v>11</v>
      </c>
      <c r="H911" s="462"/>
      <c r="I911" s="462" t="s">
        <v>12</v>
      </c>
      <c r="J911" s="463"/>
    </row>
    <row r="912" spans="1:13" x14ac:dyDescent="0.2">
      <c r="A912" s="140"/>
      <c r="B912" s="172" t="s">
        <v>31</v>
      </c>
      <c r="C912" s="154">
        <v>4221</v>
      </c>
      <c r="D912" s="191" t="s">
        <v>1824</v>
      </c>
      <c r="E912" s="155" t="s">
        <v>103</v>
      </c>
      <c r="F912" s="156">
        <v>1485.0000000000002</v>
      </c>
      <c r="G912" s="428">
        <v>6.95</v>
      </c>
      <c r="H912" s="429" t="e">
        <v>#N/A</v>
      </c>
      <c r="I912" s="430">
        <v>10320.75</v>
      </c>
      <c r="J912" s="431"/>
      <c r="K912" s="291"/>
    </row>
    <row r="913" spans="1:11" x14ac:dyDescent="0.2">
      <c r="A913" s="140"/>
      <c r="B913" s="157"/>
      <c r="C913" s="158"/>
      <c r="D913" s="196"/>
      <c r="E913" s="159"/>
      <c r="F913" s="160"/>
      <c r="G913" s="432"/>
      <c r="H913" s="433"/>
      <c r="I913" s="434"/>
      <c r="J913" s="435"/>
      <c r="K913" s="291"/>
    </row>
    <row r="914" spans="1:11" x14ac:dyDescent="0.2">
      <c r="A914" s="140"/>
      <c r="B914" s="157"/>
      <c r="C914" s="158"/>
      <c r="D914" s="196"/>
      <c r="E914" s="159"/>
      <c r="F914" s="160"/>
      <c r="G914" s="432"/>
      <c r="H914" s="433"/>
      <c r="I914" s="434"/>
      <c r="J914" s="435"/>
    </row>
    <row r="915" spans="1:11" x14ac:dyDescent="0.2">
      <c r="A915" s="140"/>
      <c r="B915" s="157"/>
      <c r="C915" s="158"/>
      <c r="D915" s="196"/>
      <c r="E915" s="159"/>
      <c r="F915" s="160"/>
      <c r="G915" s="432"/>
      <c r="H915" s="433"/>
      <c r="I915" s="434"/>
      <c r="J915" s="435"/>
    </row>
    <row r="916" spans="1:11" ht="17.45" customHeight="1" x14ac:dyDescent="0.2">
      <c r="A916" s="140"/>
      <c r="B916" s="175"/>
      <c r="C916" s="248"/>
      <c r="D916" s="199"/>
      <c r="E916" s="163"/>
      <c r="F916" s="163"/>
      <c r="G916" s="456"/>
      <c r="H916" s="457"/>
      <c r="I916" s="458"/>
      <c r="J916" s="459"/>
    </row>
    <row r="917" spans="1:11" ht="17.45" customHeight="1" x14ac:dyDescent="0.2">
      <c r="A917" s="136"/>
      <c r="B917" s="439" t="s">
        <v>13</v>
      </c>
      <c r="C917" s="440"/>
      <c r="D917" s="441"/>
      <c r="E917" s="441"/>
      <c r="F917" s="441"/>
      <c r="G917" s="441"/>
      <c r="H917" s="441"/>
      <c r="I917" s="446">
        <v>10320.75</v>
      </c>
      <c r="J917" s="447"/>
    </row>
    <row r="918" spans="1:11" ht="17.45" customHeight="1" x14ac:dyDescent="0.2">
      <c r="A918" s="148"/>
      <c r="B918" s="270"/>
      <c r="C918" s="271"/>
      <c r="D918" s="460" t="s">
        <v>14</v>
      </c>
      <c r="E918" s="460"/>
      <c r="F918" s="460"/>
      <c r="G918" s="460"/>
      <c r="H918" s="460"/>
      <c r="I918" s="460"/>
      <c r="J918" s="461"/>
    </row>
    <row r="919" spans="1:11" ht="30" customHeight="1" x14ac:dyDescent="0.2">
      <c r="A919" s="140"/>
      <c r="B919" s="170" t="s">
        <v>29</v>
      </c>
      <c r="C919" s="176"/>
      <c r="D919" s="198" t="s">
        <v>7</v>
      </c>
      <c r="E919" s="171" t="s">
        <v>0</v>
      </c>
      <c r="F919" s="171" t="s">
        <v>10</v>
      </c>
      <c r="G919" s="462" t="s">
        <v>11</v>
      </c>
      <c r="H919" s="462"/>
      <c r="I919" s="462" t="s">
        <v>12</v>
      </c>
      <c r="J919" s="463"/>
    </row>
    <row r="920" spans="1:11" x14ac:dyDescent="0.2">
      <c r="A920" s="140"/>
      <c r="B920" s="172" t="s">
        <v>2339</v>
      </c>
      <c r="C920" s="154" t="s">
        <v>1242</v>
      </c>
      <c r="D920" s="191" t="s">
        <v>1820</v>
      </c>
      <c r="E920" s="155" t="s">
        <v>24</v>
      </c>
      <c r="F920" s="156">
        <v>1</v>
      </c>
      <c r="G920" s="428">
        <v>17949.400000000001</v>
      </c>
      <c r="H920" s="429" t="e">
        <v>#N/A</v>
      </c>
      <c r="I920" s="430">
        <v>17949.400000000001</v>
      </c>
      <c r="J920" s="431"/>
    </row>
    <row r="921" spans="1:11" x14ac:dyDescent="0.2">
      <c r="A921" s="140"/>
      <c r="B921" s="157"/>
      <c r="C921" s="158"/>
      <c r="D921" s="196"/>
      <c r="E921" s="159"/>
      <c r="F921" s="160"/>
      <c r="G921" s="432"/>
      <c r="H921" s="433"/>
      <c r="I921" s="434"/>
      <c r="J921" s="435"/>
    </row>
    <row r="922" spans="1:11" ht="17.45" customHeight="1" x14ac:dyDescent="0.2">
      <c r="A922" s="140"/>
      <c r="B922" s="175"/>
      <c r="C922" s="162"/>
      <c r="D922" s="199"/>
      <c r="E922" s="163"/>
      <c r="F922" s="177"/>
      <c r="G922" s="436"/>
      <c r="H922" s="437"/>
      <c r="I922" s="436"/>
      <c r="J922" s="438"/>
    </row>
    <row r="923" spans="1:11" ht="17.45" customHeight="1" x14ac:dyDescent="0.2">
      <c r="A923" s="136"/>
      <c r="B923" s="439" t="s">
        <v>15</v>
      </c>
      <c r="C923" s="440"/>
      <c r="D923" s="441"/>
      <c r="E923" s="441"/>
      <c r="F923" s="441"/>
      <c r="G923" s="441"/>
      <c r="H923" s="441"/>
      <c r="I923" s="442">
        <v>17949.400000000001</v>
      </c>
      <c r="J923" s="443"/>
    </row>
    <row r="924" spans="1:11" ht="17.45" customHeight="1" x14ac:dyDescent="0.2">
      <c r="A924" s="136"/>
      <c r="B924" s="439" t="s">
        <v>16</v>
      </c>
      <c r="C924" s="440"/>
      <c r="D924" s="441"/>
      <c r="E924" s="441"/>
      <c r="F924" s="441"/>
      <c r="G924" s="441"/>
      <c r="H924" s="441"/>
      <c r="I924" s="444">
        <v>35984.01</v>
      </c>
      <c r="J924" s="445"/>
    </row>
    <row r="925" spans="1:11" ht="17.45" customHeight="1" x14ac:dyDescent="0.2">
      <c r="A925" s="140"/>
      <c r="B925" s="178"/>
      <c r="C925" s="179"/>
      <c r="D925" s="193" t="s">
        <v>17</v>
      </c>
      <c r="E925" s="180"/>
      <c r="F925" s="164">
        <v>0</v>
      </c>
      <c r="G925" s="272"/>
      <c r="H925" s="272"/>
      <c r="I925" s="446">
        <v>0</v>
      </c>
      <c r="J925" s="447"/>
    </row>
    <row r="926" spans="1:11" ht="17.45" customHeight="1" x14ac:dyDescent="0.2">
      <c r="A926" s="136"/>
      <c r="B926" s="439" t="s">
        <v>18</v>
      </c>
      <c r="C926" s="440"/>
      <c r="D926" s="441"/>
      <c r="E926" s="441"/>
      <c r="F926" s="441"/>
      <c r="G926" s="441"/>
      <c r="H926" s="441"/>
      <c r="I926" s="448">
        <v>35984.01</v>
      </c>
      <c r="J926" s="449"/>
    </row>
    <row r="927" spans="1:11" ht="17.45" customHeight="1" x14ac:dyDescent="0.2">
      <c r="A927" s="141"/>
      <c r="B927" s="450" t="s">
        <v>1308</v>
      </c>
      <c r="C927" s="451"/>
      <c r="D927" s="451"/>
      <c r="E927" s="451"/>
      <c r="F927" s="451"/>
      <c r="G927" s="451"/>
      <c r="H927" s="451"/>
      <c r="I927" s="451"/>
      <c r="J927" s="452"/>
    </row>
    <row r="928" spans="1:11" ht="17.45" customHeight="1" thickBot="1" x14ac:dyDescent="0.25">
      <c r="A928" s="140"/>
      <c r="B928" s="453"/>
      <c r="C928" s="454"/>
      <c r="D928" s="454"/>
      <c r="E928" s="454"/>
      <c r="F928" s="454"/>
      <c r="G928" s="454"/>
      <c r="H928" s="454"/>
      <c r="I928" s="454"/>
      <c r="J928" s="455"/>
    </row>
    <row r="929" spans="1:13" ht="13.5" thickBot="1" x14ac:dyDescent="0.25"/>
    <row r="930" spans="1:13" ht="17.45" customHeight="1" x14ac:dyDescent="0.2">
      <c r="A930" s="136"/>
      <c r="B930" s="476" t="s">
        <v>25</v>
      </c>
      <c r="C930" s="477"/>
      <c r="D930" s="477"/>
      <c r="E930" s="477"/>
      <c r="F930" s="477"/>
      <c r="G930" s="477"/>
      <c r="H930" s="477"/>
      <c r="I930" s="477"/>
      <c r="J930" s="478"/>
      <c r="K930" s="190"/>
      <c r="L930" s="137"/>
    </row>
    <row r="931" spans="1:13" ht="17.45" customHeight="1" x14ac:dyDescent="0.2">
      <c r="A931" s="141"/>
      <c r="B931" s="144" t="s">
        <v>43</v>
      </c>
      <c r="C931" s="273" t="s">
        <v>108</v>
      </c>
      <c r="D931" s="193"/>
      <c r="E931" s="272"/>
      <c r="F931" s="143" t="s">
        <v>113</v>
      </c>
      <c r="G931" s="479"/>
      <c r="H931" s="479"/>
      <c r="I931" s="145"/>
      <c r="J931" s="249">
        <v>44682</v>
      </c>
      <c r="K931" s="190"/>
      <c r="L931" s="137"/>
    </row>
    <row r="932" spans="1:13" ht="38.25" customHeight="1" x14ac:dyDescent="0.2">
      <c r="A932" s="141"/>
      <c r="B932" s="144" t="s">
        <v>4</v>
      </c>
      <c r="C932" s="480" t="s">
        <v>1849</v>
      </c>
      <c r="D932" s="480" t="e">
        <v>#N/A</v>
      </c>
      <c r="E932" s="480" t="e">
        <v>#N/A</v>
      </c>
      <c r="F932" s="480" t="e">
        <v>#N/A</v>
      </c>
      <c r="G932" s="480" t="e">
        <v>#N/A</v>
      </c>
      <c r="H932" s="480" t="e">
        <v>#N/A</v>
      </c>
      <c r="I932" s="480" t="e">
        <v>#N/A</v>
      </c>
      <c r="J932" s="481" t="e">
        <v>#N/A</v>
      </c>
      <c r="K932" s="185" t="s">
        <v>114</v>
      </c>
      <c r="L932" s="186" t="s">
        <v>89</v>
      </c>
      <c r="M932" s="187" t="s">
        <v>115</v>
      </c>
    </row>
    <row r="933" spans="1:13" ht="17.45" customHeight="1" x14ac:dyDescent="0.2">
      <c r="A933" s="140" t="s">
        <v>1293</v>
      </c>
      <c r="B933" s="146" t="s">
        <v>46</v>
      </c>
      <c r="C933" s="271" t="s">
        <v>1293</v>
      </c>
      <c r="D933" s="194" t="s">
        <v>45</v>
      </c>
      <c r="E933" s="482" t="s">
        <v>1851</v>
      </c>
      <c r="F933" s="482"/>
      <c r="G933" s="482"/>
      <c r="H933" s="483"/>
      <c r="I933" s="181" t="s">
        <v>116</v>
      </c>
      <c r="J933" s="183" t="s">
        <v>3</v>
      </c>
      <c r="K933" s="184">
        <v>666.4</v>
      </c>
      <c r="L933" s="188">
        <v>2578.9899999999998</v>
      </c>
      <c r="M933" s="189">
        <v>0</v>
      </c>
    </row>
    <row r="934" spans="1:13" ht="17.45" customHeight="1" x14ac:dyDescent="0.2">
      <c r="A934" s="148"/>
      <c r="B934" s="270"/>
      <c r="C934" s="179" t="s">
        <v>1247</v>
      </c>
      <c r="D934" s="484" t="s">
        <v>6</v>
      </c>
      <c r="E934" s="485"/>
      <c r="F934" s="485"/>
      <c r="G934" s="486"/>
      <c r="H934" s="485"/>
      <c r="I934" s="485"/>
      <c r="J934" s="487"/>
      <c r="K934" s="182"/>
    </row>
    <row r="935" spans="1:13" ht="15" customHeight="1" x14ac:dyDescent="0.2">
      <c r="A935" s="140"/>
      <c r="B935" s="150" t="s">
        <v>29</v>
      </c>
      <c r="C935" s="151" t="s">
        <v>66</v>
      </c>
      <c r="D935" s="195" t="s">
        <v>7</v>
      </c>
      <c r="E935" s="152" t="s">
        <v>30</v>
      </c>
      <c r="F935" s="152" t="s">
        <v>112</v>
      </c>
      <c r="G935" s="488" t="s">
        <v>110</v>
      </c>
      <c r="H935" s="489"/>
      <c r="I935" s="488" t="s">
        <v>111</v>
      </c>
      <c r="J935" s="490"/>
      <c r="K935" s="182"/>
    </row>
    <row r="936" spans="1:13" ht="25.5" customHeight="1" x14ac:dyDescent="0.2">
      <c r="A936" s="140"/>
      <c r="B936" s="301" t="s">
        <v>100</v>
      </c>
      <c r="C936" s="154">
        <v>88261</v>
      </c>
      <c r="D936" s="191" t="s">
        <v>53</v>
      </c>
      <c r="E936" s="155" t="s">
        <v>48</v>
      </c>
      <c r="F936" s="156">
        <v>8.5289999999999999</v>
      </c>
      <c r="G936" s="428">
        <v>43.11999999999999</v>
      </c>
      <c r="H936" s="429" t="e">
        <v>#N/A</v>
      </c>
      <c r="I936" s="430">
        <v>367.77</v>
      </c>
      <c r="J936" s="431"/>
    </row>
    <row r="937" spans="1:13" ht="25.5" customHeight="1" x14ac:dyDescent="0.2">
      <c r="A937" s="140"/>
      <c r="B937" s="157" t="s">
        <v>100</v>
      </c>
      <c r="C937" s="158">
        <v>88239</v>
      </c>
      <c r="D937" s="196" t="s">
        <v>50</v>
      </c>
      <c r="E937" s="302" t="s">
        <v>48</v>
      </c>
      <c r="F937" s="303">
        <v>9.1240000000000006</v>
      </c>
      <c r="G937" s="432">
        <v>32.729999999999997</v>
      </c>
      <c r="H937" s="433" t="e">
        <v>#N/A</v>
      </c>
      <c r="I937" s="434">
        <v>298.63</v>
      </c>
      <c r="J937" s="435"/>
    </row>
    <row r="938" spans="1:13" ht="17.45" customHeight="1" x14ac:dyDescent="0.2">
      <c r="A938" s="140"/>
      <c r="B938" s="161"/>
      <c r="C938" s="162"/>
      <c r="D938" s="197"/>
      <c r="E938" s="163"/>
      <c r="F938" s="163"/>
      <c r="G938" s="456"/>
      <c r="H938" s="457"/>
      <c r="I938" s="464"/>
      <c r="J938" s="465"/>
    </row>
    <row r="939" spans="1:13" ht="17.45" customHeight="1" x14ac:dyDescent="0.2">
      <c r="A939" s="136"/>
      <c r="B939" s="466" t="s">
        <v>44</v>
      </c>
      <c r="C939" s="467"/>
      <c r="D939" s="468"/>
      <c r="E939" s="468"/>
      <c r="F939" s="468"/>
      <c r="G939" s="468"/>
      <c r="H939" s="468"/>
      <c r="I939" s="469">
        <v>666.4</v>
      </c>
      <c r="J939" s="470"/>
    </row>
    <row r="940" spans="1:13" ht="17.45" customHeight="1" x14ac:dyDescent="0.2">
      <c r="A940" s="136"/>
      <c r="B940" s="466" t="s">
        <v>117</v>
      </c>
      <c r="C940" s="467"/>
      <c r="D940" s="468"/>
      <c r="E940" s="468"/>
      <c r="F940" s="164"/>
      <c r="G940" s="276"/>
      <c r="H940" s="274"/>
      <c r="I940" s="471">
        <v>0</v>
      </c>
      <c r="J940" s="472"/>
    </row>
    <row r="941" spans="1:13" ht="17.45" customHeight="1" x14ac:dyDescent="0.2">
      <c r="A941" s="136"/>
      <c r="B941" s="439" t="s">
        <v>8</v>
      </c>
      <c r="C941" s="440"/>
      <c r="D941" s="441"/>
      <c r="E941" s="441"/>
      <c r="F941" s="441"/>
      <c r="G941" s="441"/>
      <c r="H941" s="441"/>
      <c r="I941" s="473">
        <v>666.4</v>
      </c>
      <c r="J941" s="474"/>
    </row>
    <row r="942" spans="1:13" ht="17.45" customHeight="1" x14ac:dyDescent="0.2">
      <c r="A942" s="148"/>
      <c r="B942" s="275"/>
      <c r="C942" s="142"/>
      <c r="D942" s="475" t="s">
        <v>9</v>
      </c>
      <c r="E942" s="475"/>
      <c r="F942" s="460"/>
      <c r="G942" s="460"/>
      <c r="H942" s="460"/>
      <c r="I942" s="460"/>
      <c r="J942" s="461"/>
    </row>
    <row r="943" spans="1:13" ht="30" customHeight="1" x14ac:dyDescent="0.2">
      <c r="A943" s="140"/>
      <c r="B943" s="170" t="s">
        <v>29</v>
      </c>
      <c r="C943" s="151" t="s">
        <v>66</v>
      </c>
      <c r="D943" s="198" t="s">
        <v>7</v>
      </c>
      <c r="E943" s="171" t="s">
        <v>0</v>
      </c>
      <c r="F943" s="171" t="s">
        <v>10</v>
      </c>
      <c r="G943" s="462" t="s">
        <v>11</v>
      </c>
      <c r="H943" s="462"/>
      <c r="I943" s="462" t="s">
        <v>12</v>
      </c>
      <c r="J943" s="463"/>
    </row>
    <row r="944" spans="1:13" x14ac:dyDescent="0.2">
      <c r="A944" s="140"/>
      <c r="B944" s="301" t="s">
        <v>135</v>
      </c>
      <c r="C944" s="154" t="s">
        <v>1854</v>
      </c>
      <c r="D944" s="191" t="s">
        <v>1852</v>
      </c>
      <c r="E944" s="155" t="s">
        <v>3</v>
      </c>
      <c r="F944" s="156">
        <v>1</v>
      </c>
      <c r="G944" s="428">
        <v>145</v>
      </c>
      <c r="H944" s="429" t="e">
        <v>#N/A</v>
      </c>
      <c r="I944" s="430">
        <v>145</v>
      </c>
      <c r="J944" s="431"/>
      <c r="K944" s="291"/>
    </row>
    <row r="945" spans="1:11" x14ac:dyDescent="0.2">
      <c r="A945" s="292"/>
      <c r="B945" s="157" t="s">
        <v>135</v>
      </c>
      <c r="C945" s="158" t="s">
        <v>1859</v>
      </c>
      <c r="D945" s="196" t="s">
        <v>1860</v>
      </c>
      <c r="E945" s="302" t="s">
        <v>3</v>
      </c>
      <c r="F945" s="303">
        <v>1</v>
      </c>
      <c r="G945" s="432">
        <v>145</v>
      </c>
      <c r="H945" s="433" t="e">
        <v>#N/A</v>
      </c>
      <c r="I945" s="434">
        <v>145</v>
      </c>
      <c r="J945" s="435"/>
      <c r="K945" s="291"/>
    </row>
    <row r="946" spans="1:11" ht="25.5" x14ac:dyDescent="0.2">
      <c r="A946" s="140"/>
      <c r="B946" s="157" t="s">
        <v>1821</v>
      </c>
      <c r="C946" s="158">
        <v>32530</v>
      </c>
      <c r="D946" s="196" t="s">
        <v>2341</v>
      </c>
      <c r="E946" s="302" t="s">
        <v>57</v>
      </c>
      <c r="F946" s="303">
        <v>8.26</v>
      </c>
      <c r="G946" s="432">
        <v>123.92</v>
      </c>
      <c r="H946" s="433" t="e">
        <v>#N/A</v>
      </c>
      <c r="I946" s="434">
        <v>1023.58</v>
      </c>
      <c r="J946" s="435"/>
      <c r="K946" s="291"/>
    </row>
    <row r="947" spans="1:11" x14ac:dyDescent="0.2">
      <c r="A947" s="140"/>
      <c r="B947" s="157" t="s">
        <v>1821</v>
      </c>
      <c r="C947" s="158">
        <v>19015</v>
      </c>
      <c r="D947" s="196" t="s">
        <v>2342</v>
      </c>
      <c r="E947" s="302" t="s">
        <v>1</v>
      </c>
      <c r="F947" s="303">
        <v>0.79</v>
      </c>
      <c r="G947" s="432">
        <v>36.83</v>
      </c>
      <c r="H947" s="433" t="e">
        <v>#N/A</v>
      </c>
      <c r="I947" s="434">
        <v>29.1</v>
      </c>
      <c r="J947" s="435"/>
    </row>
    <row r="948" spans="1:11" x14ac:dyDescent="0.2">
      <c r="A948" s="140"/>
      <c r="B948" s="157" t="s">
        <v>1821</v>
      </c>
      <c r="C948" s="158">
        <v>30501</v>
      </c>
      <c r="D948" s="196" t="s">
        <v>1853</v>
      </c>
      <c r="E948" s="302" t="s">
        <v>2</v>
      </c>
      <c r="F948" s="303">
        <v>3.6</v>
      </c>
      <c r="G948" s="432">
        <v>226.88</v>
      </c>
      <c r="H948" s="433" t="e">
        <v>#N/A</v>
      </c>
      <c r="I948" s="434">
        <v>816.77</v>
      </c>
      <c r="J948" s="435"/>
    </row>
    <row r="949" spans="1:11" ht="25.5" x14ac:dyDescent="0.2">
      <c r="A949" s="140"/>
      <c r="B949" s="157" t="s">
        <v>31</v>
      </c>
      <c r="C949" s="158">
        <v>38124</v>
      </c>
      <c r="D949" s="196" t="s">
        <v>1846</v>
      </c>
      <c r="E949" s="302" t="s">
        <v>3</v>
      </c>
      <c r="F949" s="303">
        <v>0.64200000000000002</v>
      </c>
      <c r="G949" s="432">
        <v>29.9</v>
      </c>
      <c r="H949" s="433" t="e">
        <v>#N/A</v>
      </c>
      <c r="I949" s="434">
        <v>19.2</v>
      </c>
      <c r="J949" s="435"/>
    </row>
    <row r="950" spans="1:11" ht="38.25" x14ac:dyDescent="0.2">
      <c r="A950" s="140"/>
      <c r="B950" s="157" t="s">
        <v>31</v>
      </c>
      <c r="C950" s="158">
        <v>2432</v>
      </c>
      <c r="D950" s="196" t="s">
        <v>1845</v>
      </c>
      <c r="E950" s="302" t="s">
        <v>101</v>
      </c>
      <c r="F950" s="303">
        <v>6</v>
      </c>
      <c r="G950" s="432">
        <v>30.5</v>
      </c>
      <c r="H950" s="433" t="e">
        <v>#N/A</v>
      </c>
      <c r="I950" s="434">
        <v>183</v>
      </c>
      <c r="J950" s="435"/>
    </row>
    <row r="951" spans="1:11" ht="63.75" x14ac:dyDescent="0.2">
      <c r="A951" s="140"/>
      <c r="B951" s="157" t="s">
        <v>31</v>
      </c>
      <c r="C951" s="158">
        <v>38151</v>
      </c>
      <c r="D951" s="196" t="s">
        <v>1847</v>
      </c>
      <c r="E951" s="302" t="s">
        <v>26</v>
      </c>
      <c r="F951" s="303">
        <v>1</v>
      </c>
      <c r="G951" s="432">
        <v>110.34</v>
      </c>
      <c r="H951" s="433" t="e">
        <v>#N/A</v>
      </c>
      <c r="I951" s="434">
        <v>110.34</v>
      </c>
      <c r="J951" s="435"/>
    </row>
    <row r="952" spans="1:11" ht="51" x14ac:dyDescent="0.2">
      <c r="A952" s="140"/>
      <c r="B952" s="157" t="s">
        <v>31</v>
      </c>
      <c r="C952" s="158">
        <v>43575</v>
      </c>
      <c r="D952" s="196" t="s">
        <v>1848</v>
      </c>
      <c r="E952" s="302" t="s">
        <v>3</v>
      </c>
      <c r="F952" s="303">
        <v>2</v>
      </c>
      <c r="G952" s="432">
        <v>53.5</v>
      </c>
      <c r="H952" s="433" t="e">
        <v>#N/A</v>
      </c>
      <c r="I952" s="434">
        <v>107</v>
      </c>
      <c r="J952" s="435"/>
    </row>
    <row r="953" spans="1:11" ht="17.45" customHeight="1" x14ac:dyDescent="0.2">
      <c r="A953" s="140"/>
      <c r="B953" s="175"/>
      <c r="C953" s="248"/>
      <c r="D953" s="199"/>
      <c r="E953" s="163"/>
      <c r="F953" s="163"/>
      <c r="G953" s="456"/>
      <c r="H953" s="457"/>
      <c r="I953" s="458"/>
      <c r="J953" s="459"/>
    </row>
    <row r="954" spans="1:11" ht="17.45" customHeight="1" x14ac:dyDescent="0.2">
      <c r="A954" s="136"/>
      <c r="B954" s="439" t="s">
        <v>13</v>
      </c>
      <c r="C954" s="440"/>
      <c r="D954" s="441"/>
      <c r="E954" s="441"/>
      <c r="F954" s="441"/>
      <c r="G954" s="441"/>
      <c r="H954" s="441"/>
      <c r="I954" s="446">
        <v>2578.9899999999998</v>
      </c>
      <c r="J954" s="447"/>
    </row>
    <row r="955" spans="1:11" ht="17.45" customHeight="1" x14ac:dyDescent="0.2">
      <c r="A955" s="148"/>
      <c r="B955" s="270"/>
      <c r="C955" s="271"/>
      <c r="D955" s="460" t="s">
        <v>14</v>
      </c>
      <c r="E955" s="460"/>
      <c r="F955" s="460"/>
      <c r="G955" s="460"/>
      <c r="H955" s="460"/>
      <c r="I955" s="460"/>
      <c r="J955" s="461"/>
    </row>
    <row r="956" spans="1:11" ht="30" customHeight="1" x14ac:dyDescent="0.2">
      <c r="A956" s="140"/>
      <c r="B956" s="170" t="s">
        <v>29</v>
      </c>
      <c r="C956" s="176"/>
      <c r="D956" s="198" t="s">
        <v>7</v>
      </c>
      <c r="E956" s="171" t="s">
        <v>0</v>
      </c>
      <c r="F956" s="171" t="s">
        <v>10</v>
      </c>
      <c r="G956" s="462" t="s">
        <v>11</v>
      </c>
      <c r="H956" s="462"/>
      <c r="I956" s="462" t="s">
        <v>12</v>
      </c>
      <c r="J956" s="463"/>
    </row>
    <row r="957" spans="1:11" x14ac:dyDescent="0.2">
      <c r="A957" s="140"/>
      <c r="B957" s="172"/>
      <c r="C957" s="154"/>
      <c r="D957" s="191"/>
      <c r="E957" s="155"/>
      <c r="F957" s="156"/>
      <c r="G957" s="428"/>
      <c r="H957" s="429"/>
      <c r="I957" s="430"/>
      <c r="J957" s="431"/>
    </row>
    <row r="958" spans="1:11" x14ac:dyDescent="0.2">
      <c r="A958" s="140"/>
      <c r="B958" s="157"/>
      <c r="C958" s="158"/>
      <c r="D958" s="196"/>
      <c r="E958" s="159"/>
      <c r="F958" s="160"/>
      <c r="G958" s="432"/>
      <c r="H958" s="433"/>
      <c r="I958" s="434"/>
      <c r="J958" s="435"/>
    </row>
    <row r="959" spans="1:11" ht="17.45" customHeight="1" x14ac:dyDescent="0.2">
      <c r="A959" s="140"/>
      <c r="B959" s="175"/>
      <c r="C959" s="162"/>
      <c r="D959" s="199"/>
      <c r="E959" s="163"/>
      <c r="F959" s="177"/>
      <c r="G959" s="436"/>
      <c r="H959" s="437"/>
      <c r="I959" s="436"/>
      <c r="J959" s="438"/>
    </row>
    <row r="960" spans="1:11" ht="17.45" customHeight="1" x14ac:dyDescent="0.2">
      <c r="A960" s="136"/>
      <c r="B960" s="439" t="s">
        <v>15</v>
      </c>
      <c r="C960" s="440"/>
      <c r="D960" s="441"/>
      <c r="E960" s="441"/>
      <c r="F960" s="441"/>
      <c r="G960" s="441"/>
      <c r="H960" s="441"/>
      <c r="I960" s="442">
        <v>0</v>
      </c>
      <c r="J960" s="443"/>
    </row>
    <row r="961" spans="1:13" ht="17.45" customHeight="1" x14ac:dyDescent="0.2">
      <c r="A961" s="136"/>
      <c r="B961" s="439" t="s">
        <v>16</v>
      </c>
      <c r="C961" s="440"/>
      <c r="D961" s="441"/>
      <c r="E961" s="441"/>
      <c r="F961" s="441"/>
      <c r="G961" s="441"/>
      <c r="H961" s="441"/>
      <c r="I961" s="444">
        <v>3245.39</v>
      </c>
      <c r="J961" s="445"/>
    </row>
    <row r="962" spans="1:13" ht="17.45" customHeight="1" x14ac:dyDescent="0.2">
      <c r="A962" s="140"/>
      <c r="B962" s="178"/>
      <c r="C962" s="179"/>
      <c r="D962" s="193" t="s">
        <v>17</v>
      </c>
      <c r="E962" s="180"/>
      <c r="F962" s="164">
        <v>0</v>
      </c>
      <c r="G962" s="272"/>
      <c r="H962" s="272"/>
      <c r="I962" s="446">
        <v>0</v>
      </c>
      <c r="J962" s="447"/>
    </row>
    <row r="963" spans="1:13" ht="17.45" customHeight="1" x14ac:dyDescent="0.2">
      <c r="A963" s="136"/>
      <c r="B963" s="439" t="s">
        <v>18</v>
      </c>
      <c r="C963" s="440"/>
      <c r="D963" s="441"/>
      <c r="E963" s="441"/>
      <c r="F963" s="441"/>
      <c r="G963" s="441"/>
      <c r="H963" s="441"/>
      <c r="I963" s="448">
        <v>3245.39</v>
      </c>
      <c r="J963" s="449"/>
    </row>
    <row r="964" spans="1:13" ht="17.45" customHeight="1" x14ac:dyDescent="0.2">
      <c r="A964" s="141"/>
      <c r="B964" s="450" t="s">
        <v>1855</v>
      </c>
      <c r="C964" s="451"/>
      <c r="D964" s="451"/>
      <c r="E964" s="451"/>
      <c r="F964" s="451"/>
      <c r="G964" s="451"/>
      <c r="H964" s="451"/>
      <c r="I964" s="451"/>
      <c r="J964" s="452"/>
    </row>
    <row r="965" spans="1:13" ht="17.45" customHeight="1" thickBot="1" x14ac:dyDescent="0.25">
      <c r="A965" s="140"/>
      <c r="B965" s="453"/>
      <c r="C965" s="454"/>
      <c r="D965" s="454"/>
      <c r="E965" s="454"/>
      <c r="F965" s="454"/>
      <c r="G965" s="454"/>
      <c r="H965" s="454"/>
      <c r="I965" s="454"/>
      <c r="J965" s="455"/>
    </row>
    <row r="966" spans="1:13" ht="13.5" thickBot="1" x14ac:dyDescent="0.25"/>
    <row r="967" spans="1:13" ht="17.45" customHeight="1" x14ac:dyDescent="0.2">
      <c r="A967" s="136"/>
      <c r="B967" s="476" t="s">
        <v>25</v>
      </c>
      <c r="C967" s="477"/>
      <c r="D967" s="477"/>
      <c r="E967" s="477"/>
      <c r="F967" s="477"/>
      <c r="G967" s="477"/>
      <c r="H967" s="477"/>
      <c r="I967" s="477"/>
      <c r="J967" s="478"/>
      <c r="K967" s="190"/>
      <c r="L967" s="137"/>
    </row>
    <row r="968" spans="1:13" ht="17.45" customHeight="1" x14ac:dyDescent="0.2">
      <c r="A968" s="141"/>
      <c r="B968" s="144" t="s">
        <v>43</v>
      </c>
      <c r="C968" s="273" t="s">
        <v>108</v>
      </c>
      <c r="D968" s="193"/>
      <c r="E968" s="272"/>
      <c r="F968" s="143" t="s">
        <v>113</v>
      </c>
      <c r="G968" s="479"/>
      <c r="H968" s="479"/>
      <c r="I968" s="145"/>
      <c r="J968" s="249">
        <v>44682</v>
      </c>
      <c r="K968" s="190"/>
      <c r="L968" s="137"/>
    </row>
    <row r="969" spans="1:13" ht="38.25" customHeight="1" x14ac:dyDescent="0.2">
      <c r="A969" s="141"/>
      <c r="B969" s="144" t="s">
        <v>4</v>
      </c>
      <c r="C969" s="480" t="s">
        <v>1850</v>
      </c>
      <c r="D969" s="480" t="e">
        <v>#N/A</v>
      </c>
      <c r="E969" s="480" t="e">
        <v>#N/A</v>
      </c>
      <c r="F969" s="480" t="e">
        <v>#VALUE!</v>
      </c>
      <c r="G969" s="480" t="e">
        <v>#N/A</v>
      </c>
      <c r="H969" s="480" t="e">
        <v>#N/A</v>
      </c>
      <c r="I969" s="480" t="e">
        <v>#VALUE!</v>
      </c>
      <c r="J969" s="481" t="e">
        <v>#N/A</v>
      </c>
      <c r="K969" s="185" t="s">
        <v>114</v>
      </c>
      <c r="L969" s="186" t="s">
        <v>89</v>
      </c>
      <c r="M969" s="187" t="s">
        <v>115</v>
      </c>
    </row>
    <row r="970" spans="1:13" ht="17.45" customHeight="1" x14ac:dyDescent="0.2">
      <c r="A970" s="140" t="s">
        <v>1294</v>
      </c>
      <c r="B970" s="146" t="s">
        <v>46</v>
      </c>
      <c r="C970" s="271" t="s">
        <v>1294</v>
      </c>
      <c r="D970" s="194" t="s">
        <v>45</v>
      </c>
      <c r="E970" s="482" t="s">
        <v>1851</v>
      </c>
      <c r="F970" s="482"/>
      <c r="G970" s="482"/>
      <c r="H970" s="483"/>
      <c r="I970" s="181" t="s">
        <v>116</v>
      </c>
      <c r="J970" s="183" t="s">
        <v>3</v>
      </c>
      <c r="K970" s="184">
        <v>666.4</v>
      </c>
      <c r="L970" s="188">
        <v>2578.9899999999998</v>
      </c>
      <c r="M970" s="189">
        <v>0</v>
      </c>
    </row>
    <row r="971" spans="1:13" ht="17.45" customHeight="1" x14ac:dyDescent="0.2">
      <c r="A971" s="148"/>
      <c r="B971" s="270"/>
      <c r="C971" s="179" t="s">
        <v>1247</v>
      </c>
      <c r="D971" s="484" t="s">
        <v>6</v>
      </c>
      <c r="E971" s="485"/>
      <c r="F971" s="485"/>
      <c r="G971" s="486"/>
      <c r="H971" s="485"/>
      <c r="I971" s="485"/>
      <c r="J971" s="487"/>
      <c r="K971" s="182"/>
    </row>
    <row r="972" spans="1:13" ht="15" customHeight="1" x14ac:dyDescent="0.2">
      <c r="A972" s="140"/>
      <c r="B972" s="150" t="s">
        <v>29</v>
      </c>
      <c r="C972" s="151" t="s">
        <v>66</v>
      </c>
      <c r="D972" s="195" t="s">
        <v>7</v>
      </c>
      <c r="E972" s="152" t="s">
        <v>30</v>
      </c>
      <c r="F972" s="152" t="s">
        <v>112</v>
      </c>
      <c r="G972" s="488" t="s">
        <v>110</v>
      </c>
      <c r="H972" s="489"/>
      <c r="I972" s="488" t="s">
        <v>111</v>
      </c>
      <c r="J972" s="490"/>
      <c r="K972" s="182"/>
    </row>
    <row r="973" spans="1:13" ht="25.5" customHeight="1" x14ac:dyDescent="0.2">
      <c r="A973" s="140"/>
      <c r="B973" s="301" t="s">
        <v>100</v>
      </c>
      <c r="C973" s="154">
        <v>88261</v>
      </c>
      <c r="D973" s="191" t="s">
        <v>53</v>
      </c>
      <c r="E973" s="155" t="s">
        <v>48</v>
      </c>
      <c r="F973" s="156">
        <v>8.5289999999999999</v>
      </c>
      <c r="G973" s="428">
        <v>43.11999999999999</v>
      </c>
      <c r="H973" s="429" t="e">
        <v>#N/A</v>
      </c>
      <c r="I973" s="430">
        <v>367.77</v>
      </c>
      <c r="J973" s="431"/>
    </row>
    <row r="974" spans="1:13" ht="25.5" customHeight="1" x14ac:dyDescent="0.2">
      <c r="A974" s="140"/>
      <c r="B974" s="157" t="s">
        <v>100</v>
      </c>
      <c r="C974" s="158">
        <v>88239</v>
      </c>
      <c r="D974" s="196" t="s">
        <v>50</v>
      </c>
      <c r="E974" s="302" t="s">
        <v>48</v>
      </c>
      <c r="F974" s="303">
        <v>9.1240000000000006</v>
      </c>
      <c r="G974" s="432">
        <v>32.729999999999997</v>
      </c>
      <c r="H974" s="433" t="e">
        <v>#N/A</v>
      </c>
      <c r="I974" s="434">
        <v>298.63</v>
      </c>
      <c r="J974" s="435"/>
    </row>
    <row r="975" spans="1:13" ht="17.45" customHeight="1" x14ac:dyDescent="0.2">
      <c r="A975" s="140"/>
      <c r="B975" s="161"/>
      <c r="C975" s="162"/>
      <c r="D975" s="197"/>
      <c r="E975" s="163"/>
      <c r="F975" s="163"/>
      <c r="G975" s="456"/>
      <c r="H975" s="457"/>
      <c r="I975" s="464"/>
      <c r="J975" s="465"/>
    </row>
    <row r="976" spans="1:13" ht="17.45" customHeight="1" x14ac:dyDescent="0.2">
      <c r="A976" s="136"/>
      <c r="B976" s="466" t="s">
        <v>44</v>
      </c>
      <c r="C976" s="467"/>
      <c r="D976" s="468"/>
      <c r="E976" s="468"/>
      <c r="F976" s="468"/>
      <c r="G976" s="468"/>
      <c r="H976" s="468"/>
      <c r="I976" s="469">
        <v>666.4</v>
      </c>
      <c r="J976" s="470"/>
    </row>
    <row r="977" spans="1:11" ht="17.45" customHeight="1" x14ac:dyDescent="0.2">
      <c r="A977" s="136"/>
      <c r="B977" s="466" t="s">
        <v>117</v>
      </c>
      <c r="C977" s="467"/>
      <c r="D977" s="468"/>
      <c r="E977" s="468"/>
      <c r="F977" s="164"/>
      <c r="G977" s="276"/>
      <c r="H977" s="274"/>
      <c r="I977" s="471">
        <v>0</v>
      </c>
      <c r="J977" s="472"/>
    </row>
    <row r="978" spans="1:11" ht="17.45" customHeight="1" x14ac:dyDescent="0.2">
      <c r="A978" s="136"/>
      <c r="B978" s="439" t="s">
        <v>8</v>
      </c>
      <c r="C978" s="440"/>
      <c r="D978" s="441"/>
      <c r="E978" s="441"/>
      <c r="F978" s="441"/>
      <c r="G978" s="441"/>
      <c r="H978" s="441"/>
      <c r="I978" s="473">
        <v>666.4</v>
      </c>
      <c r="J978" s="474"/>
    </row>
    <row r="979" spans="1:11" ht="17.45" customHeight="1" x14ac:dyDescent="0.2">
      <c r="A979" s="148"/>
      <c r="B979" s="275"/>
      <c r="C979" s="142"/>
      <c r="D979" s="475" t="s">
        <v>9</v>
      </c>
      <c r="E979" s="475"/>
      <c r="F979" s="460"/>
      <c r="G979" s="460"/>
      <c r="H979" s="460"/>
      <c r="I979" s="460"/>
      <c r="J979" s="461"/>
    </row>
    <row r="980" spans="1:11" ht="30" customHeight="1" x14ac:dyDescent="0.2">
      <c r="A980" s="140"/>
      <c r="B980" s="170" t="s">
        <v>29</v>
      </c>
      <c r="C980" s="151" t="s">
        <v>66</v>
      </c>
      <c r="D980" s="198" t="s">
        <v>7</v>
      </c>
      <c r="E980" s="171" t="s">
        <v>0</v>
      </c>
      <c r="F980" s="171" t="s">
        <v>10</v>
      </c>
      <c r="G980" s="462" t="s">
        <v>11</v>
      </c>
      <c r="H980" s="462"/>
      <c r="I980" s="462" t="s">
        <v>12</v>
      </c>
      <c r="J980" s="463"/>
    </row>
    <row r="981" spans="1:11" x14ac:dyDescent="0.2">
      <c r="A981" s="140"/>
      <c r="B981" s="304" t="s">
        <v>135</v>
      </c>
      <c r="C981" s="154" t="s">
        <v>1854</v>
      </c>
      <c r="D981" s="305" t="s">
        <v>1852</v>
      </c>
      <c r="E981" s="306" t="s">
        <v>3</v>
      </c>
      <c r="F981" s="307">
        <v>1</v>
      </c>
      <c r="G981" s="491">
        <v>145</v>
      </c>
      <c r="H981" s="491" t="e">
        <v>#N/A</v>
      </c>
      <c r="I981" s="430">
        <v>145</v>
      </c>
      <c r="J981" s="431"/>
      <c r="K981" s="291"/>
    </row>
    <row r="982" spans="1:11" x14ac:dyDescent="0.2">
      <c r="A982" s="292"/>
      <c r="B982" s="304" t="s">
        <v>135</v>
      </c>
      <c r="C982" s="158" t="s">
        <v>1859</v>
      </c>
      <c r="D982" s="305" t="s">
        <v>1860</v>
      </c>
      <c r="E982" s="306" t="s">
        <v>3</v>
      </c>
      <c r="F982" s="307">
        <v>1</v>
      </c>
      <c r="G982" s="491">
        <v>145</v>
      </c>
      <c r="H982" s="491" t="e">
        <v>#N/A</v>
      </c>
      <c r="I982" s="430">
        <v>145</v>
      </c>
      <c r="J982" s="431"/>
      <c r="K982" s="291"/>
    </row>
    <row r="983" spans="1:11" ht="25.5" x14ac:dyDescent="0.2">
      <c r="A983" s="140"/>
      <c r="B983" s="304" t="s">
        <v>1821</v>
      </c>
      <c r="C983" s="158">
        <v>32530</v>
      </c>
      <c r="D983" s="305" t="s">
        <v>2341</v>
      </c>
      <c r="E983" s="306" t="s">
        <v>57</v>
      </c>
      <c r="F983" s="307">
        <v>8.26</v>
      </c>
      <c r="G983" s="491">
        <v>123.92</v>
      </c>
      <c r="H983" s="491" t="e">
        <v>#N/A</v>
      </c>
      <c r="I983" s="430">
        <v>1023.58</v>
      </c>
      <c r="J983" s="431"/>
      <c r="K983" s="291"/>
    </row>
    <row r="984" spans="1:11" x14ac:dyDescent="0.2">
      <c r="A984" s="140"/>
      <c r="B984" s="304" t="s">
        <v>1821</v>
      </c>
      <c r="C984" s="158">
        <v>19015</v>
      </c>
      <c r="D984" s="305" t="s">
        <v>2342</v>
      </c>
      <c r="E984" s="306" t="s">
        <v>1</v>
      </c>
      <c r="F984" s="307">
        <v>0.79</v>
      </c>
      <c r="G984" s="491">
        <v>36.83</v>
      </c>
      <c r="H984" s="491" t="e">
        <v>#N/A</v>
      </c>
      <c r="I984" s="430">
        <v>29.1</v>
      </c>
      <c r="J984" s="431"/>
    </row>
    <row r="985" spans="1:11" x14ac:dyDescent="0.2">
      <c r="A985" s="140"/>
      <c r="B985" s="304" t="s">
        <v>1821</v>
      </c>
      <c r="C985" s="158">
        <v>30501</v>
      </c>
      <c r="D985" s="305" t="s">
        <v>1853</v>
      </c>
      <c r="E985" s="306" t="s">
        <v>2</v>
      </c>
      <c r="F985" s="307">
        <v>3.6</v>
      </c>
      <c r="G985" s="491">
        <v>226.88</v>
      </c>
      <c r="H985" s="491" t="e">
        <v>#N/A</v>
      </c>
      <c r="I985" s="430">
        <v>816.77</v>
      </c>
      <c r="J985" s="431"/>
    </row>
    <row r="986" spans="1:11" ht="25.5" x14ac:dyDescent="0.2">
      <c r="A986" s="140"/>
      <c r="B986" s="304" t="s">
        <v>31</v>
      </c>
      <c r="C986" s="158">
        <v>38124</v>
      </c>
      <c r="D986" s="305" t="s">
        <v>1846</v>
      </c>
      <c r="E986" s="306" t="s">
        <v>3</v>
      </c>
      <c r="F986" s="307">
        <v>0.64200000000000002</v>
      </c>
      <c r="G986" s="491">
        <v>29.9</v>
      </c>
      <c r="H986" s="491" t="e">
        <v>#N/A</v>
      </c>
      <c r="I986" s="430">
        <v>19.2</v>
      </c>
      <c r="J986" s="431"/>
    </row>
    <row r="987" spans="1:11" ht="38.25" x14ac:dyDescent="0.2">
      <c r="A987" s="140"/>
      <c r="B987" s="304" t="s">
        <v>31</v>
      </c>
      <c r="C987" s="158">
        <v>2432</v>
      </c>
      <c r="D987" s="305" t="s">
        <v>1845</v>
      </c>
      <c r="E987" s="306" t="s">
        <v>101</v>
      </c>
      <c r="F987" s="307">
        <v>6</v>
      </c>
      <c r="G987" s="491">
        <v>30.5</v>
      </c>
      <c r="H987" s="491" t="e">
        <v>#N/A</v>
      </c>
      <c r="I987" s="430">
        <v>183</v>
      </c>
      <c r="J987" s="431"/>
    </row>
    <row r="988" spans="1:11" ht="63.75" x14ac:dyDescent="0.2">
      <c r="A988" s="140"/>
      <c r="B988" s="304" t="s">
        <v>31</v>
      </c>
      <c r="C988" s="158">
        <v>38151</v>
      </c>
      <c r="D988" s="305" t="s">
        <v>1847</v>
      </c>
      <c r="E988" s="306" t="s">
        <v>26</v>
      </c>
      <c r="F988" s="307">
        <v>1</v>
      </c>
      <c r="G988" s="491">
        <v>110.34</v>
      </c>
      <c r="H988" s="491" t="e">
        <v>#N/A</v>
      </c>
      <c r="I988" s="430">
        <v>110.34</v>
      </c>
      <c r="J988" s="431"/>
    </row>
    <row r="989" spans="1:11" ht="51" x14ac:dyDescent="0.2">
      <c r="A989" s="140"/>
      <c r="B989" s="304" t="s">
        <v>31</v>
      </c>
      <c r="C989" s="158">
        <v>43575</v>
      </c>
      <c r="D989" s="305" t="s">
        <v>1848</v>
      </c>
      <c r="E989" s="306" t="s">
        <v>3</v>
      </c>
      <c r="F989" s="307">
        <v>2</v>
      </c>
      <c r="G989" s="491">
        <v>53.5</v>
      </c>
      <c r="H989" s="491" t="e">
        <v>#N/A</v>
      </c>
      <c r="I989" s="430">
        <v>107</v>
      </c>
      <c r="J989" s="431"/>
    </row>
    <row r="990" spans="1:11" ht="17.45" customHeight="1" x14ac:dyDescent="0.2">
      <c r="A990" s="140"/>
      <c r="B990" s="175"/>
      <c r="C990" s="287"/>
      <c r="D990" s="308"/>
      <c r="E990" s="287"/>
      <c r="F990" s="287"/>
      <c r="G990" s="464"/>
      <c r="H990" s="464"/>
      <c r="I990" s="492"/>
      <c r="J990" s="459"/>
    </row>
    <row r="991" spans="1:11" ht="17.45" customHeight="1" x14ac:dyDescent="0.2">
      <c r="A991" s="136"/>
      <c r="B991" s="439" t="s">
        <v>13</v>
      </c>
      <c r="C991" s="440"/>
      <c r="D991" s="441"/>
      <c r="E991" s="441"/>
      <c r="F991" s="441"/>
      <c r="G991" s="441"/>
      <c r="H991" s="441"/>
      <c r="I991" s="446">
        <v>2578.9899999999998</v>
      </c>
      <c r="J991" s="447"/>
    </row>
    <row r="992" spans="1:11" ht="17.45" customHeight="1" x14ac:dyDescent="0.2">
      <c r="A992" s="148"/>
      <c r="B992" s="270"/>
      <c r="C992" s="271"/>
      <c r="D992" s="460" t="s">
        <v>14</v>
      </c>
      <c r="E992" s="460"/>
      <c r="F992" s="460"/>
      <c r="G992" s="460"/>
      <c r="H992" s="460"/>
      <c r="I992" s="460"/>
      <c r="J992" s="461"/>
    </row>
    <row r="993" spans="1:13" ht="30" customHeight="1" x14ac:dyDescent="0.2">
      <c r="A993" s="140"/>
      <c r="B993" s="170" t="s">
        <v>29</v>
      </c>
      <c r="C993" s="176"/>
      <c r="D993" s="198" t="s">
        <v>7</v>
      </c>
      <c r="E993" s="171" t="s">
        <v>0</v>
      </c>
      <c r="F993" s="171" t="s">
        <v>10</v>
      </c>
      <c r="G993" s="462" t="s">
        <v>11</v>
      </c>
      <c r="H993" s="462"/>
      <c r="I993" s="462" t="s">
        <v>12</v>
      </c>
      <c r="J993" s="463"/>
    </row>
    <row r="994" spans="1:13" x14ac:dyDescent="0.2">
      <c r="A994" s="140"/>
      <c r="B994" s="172"/>
      <c r="C994" s="154"/>
      <c r="D994" s="191"/>
      <c r="E994" s="155"/>
      <c r="F994" s="156"/>
      <c r="G994" s="428"/>
      <c r="H994" s="429"/>
      <c r="I994" s="430"/>
      <c r="J994" s="431"/>
    </row>
    <row r="995" spans="1:13" x14ac:dyDescent="0.2">
      <c r="A995" s="140"/>
      <c r="B995" s="157"/>
      <c r="C995" s="158"/>
      <c r="D995" s="196"/>
      <c r="E995" s="159"/>
      <c r="F995" s="160"/>
      <c r="G995" s="432"/>
      <c r="H995" s="433"/>
      <c r="I995" s="434"/>
      <c r="J995" s="435"/>
    </row>
    <row r="996" spans="1:13" ht="17.45" customHeight="1" x14ac:dyDescent="0.2">
      <c r="A996" s="140"/>
      <c r="B996" s="175"/>
      <c r="C996" s="162"/>
      <c r="D996" s="199"/>
      <c r="E996" s="163"/>
      <c r="F996" s="177"/>
      <c r="G996" s="436"/>
      <c r="H996" s="437"/>
      <c r="I996" s="436"/>
      <c r="J996" s="438"/>
    </row>
    <row r="997" spans="1:13" ht="17.45" customHeight="1" x14ac:dyDescent="0.2">
      <c r="A997" s="136"/>
      <c r="B997" s="439" t="s">
        <v>15</v>
      </c>
      <c r="C997" s="440"/>
      <c r="D997" s="441"/>
      <c r="E997" s="441"/>
      <c r="F997" s="441"/>
      <c r="G997" s="441"/>
      <c r="H997" s="441"/>
      <c r="I997" s="442">
        <v>0</v>
      </c>
      <c r="J997" s="443"/>
    </row>
    <row r="998" spans="1:13" ht="17.45" customHeight="1" x14ac:dyDescent="0.2">
      <c r="A998" s="136"/>
      <c r="B998" s="439" t="s">
        <v>16</v>
      </c>
      <c r="C998" s="440"/>
      <c r="D998" s="441"/>
      <c r="E998" s="441"/>
      <c r="F998" s="441"/>
      <c r="G998" s="441"/>
      <c r="H998" s="441"/>
      <c r="I998" s="444">
        <v>3245.39</v>
      </c>
      <c r="J998" s="445"/>
    </row>
    <row r="999" spans="1:13" ht="17.45" customHeight="1" x14ac:dyDescent="0.2">
      <c r="A999" s="140"/>
      <c r="B999" s="178"/>
      <c r="C999" s="179"/>
      <c r="D999" s="193" t="s">
        <v>17</v>
      </c>
      <c r="E999" s="180"/>
      <c r="F999" s="164">
        <v>0</v>
      </c>
      <c r="G999" s="272"/>
      <c r="H999" s="272"/>
      <c r="I999" s="446">
        <v>0</v>
      </c>
      <c r="J999" s="447"/>
    </row>
    <row r="1000" spans="1:13" ht="17.45" customHeight="1" x14ac:dyDescent="0.2">
      <c r="A1000" s="136"/>
      <c r="B1000" s="439" t="s">
        <v>18</v>
      </c>
      <c r="C1000" s="440"/>
      <c r="D1000" s="441"/>
      <c r="E1000" s="441"/>
      <c r="F1000" s="441"/>
      <c r="G1000" s="441"/>
      <c r="H1000" s="441"/>
      <c r="I1000" s="448">
        <v>3245.39</v>
      </c>
      <c r="J1000" s="449"/>
    </row>
    <row r="1001" spans="1:13" ht="17.45" customHeight="1" x14ac:dyDescent="0.2">
      <c r="A1001" s="141"/>
      <c r="B1001" s="450" t="s">
        <v>1855</v>
      </c>
      <c r="C1001" s="451"/>
      <c r="D1001" s="451"/>
      <c r="E1001" s="451"/>
      <c r="F1001" s="451"/>
      <c r="G1001" s="451"/>
      <c r="H1001" s="451"/>
      <c r="I1001" s="451"/>
      <c r="J1001" s="452"/>
    </row>
    <row r="1002" spans="1:13" ht="17.45" customHeight="1" thickBot="1" x14ac:dyDescent="0.25">
      <c r="A1002" s="140"/>
      <c r="B1002" s="453"/>
      <c r="C1002" s="454"/>
      <c r="D1002" s="454"/>
      <c r="E1002" s="454"/>
      <c r="F1002" s="454"/>
      <c r="G1002" s="454"/>
      <c r="H1002" s="454"/>
      <c r="I1002" s="454"/>
      <c r="J1002" s="455"/>
    </row>
    <row r="1003" spans="1:13" ht="13.5" thickBot="1" x14ac:dyDescent="0.25"/>
    <row r="1004" spans="1:13" ht="17.45" customHeight="1" x14ac:dyDescent="0.2">
      <c r="A1004" s="136"/>
      <c r="B1004" s="476" t="s">
        <v>25</v>
      </c>
      <c r="C1004" s="477"/>
      <c r="D1004" s="477"/>
      <c r="E1004" s="477"/>
      <c r="F1004" s="477"/>
      <c r="G1004" s="477"/>
      <c r="H1004" s="477"/>
      <c r="I1004" s="477"/>
      <c r="J1004" s="478"/>
      <c r="K1004" s="190"/>
      <c r="L1004" s="137"/>
    </row>
    <row r="1005" spans="1:13" ht="17.45" customHeight="1" x14ac:dyDescent="0.2">
      <c r="A1005" s="141"/>
      <c r="B1005" s="144" t="s">
        <v>43</v>
      </c>
      <c r="C1005" s="273" t="s">
        <v>108</v>
      </c>
      <c r="D1005" s="193"/>
      <c r="E1005" s="272"/>
      <c r="F1005" s="143" t="s">
        <v>113</v>
      </c>
      <c r="G1005" s="479"/>
      <c r="H1005" s="479"/>
      <c r="I1005" s="145"/>
      <c r="J1005" s="249">
        <v>44682</v>
      </c>
      <c r="K1005" s="190"/>
      <c r="L1005" s="137"/>
    </row>
    <row r="1006" spans="1:13" ht="29.25" customHeight="1" x14ac:dyDescent="0.2">
      <c r="A1006" s="141"/>
      <c r="B1006" s="144" t="s">
        <v>4</v>
      </c>
      <c r="C1006" s="480" t="s">
        <v>1856</v>
      </c>
      <c r="D1006" s="480" t="e">
        <v>#N/A</v>
      </c>
      <c r="E1006" s="480" t="e">
        <v>#N/A</v>
      </c>
      <c r="F1006" s="480" t="e">
        <v>#N/A</v>
      </c>
      <c r="G1006" s="480" t="e">
        <v>#N/A</v>
      </c>
      <c r="H1006" s="480" t="e">
        <v>#N/A</v>
      </c>
      <c r="I1006" s="480" t="e">
        <v>#N/A</v>
      </c>
      <c r="J1006" s="481" t="e">
        <v>#N/A</v>
      </c>
      <c r="K1006" s="185" t="s">
        <v>114</v>
      </c>
      <c r="L1006" s="186" t="s">
        <v>89</v>
      </c>
      <c r="M1006" s="187" t="s">
        <v>115</v>
      </c>
    </row>
    <row r="1007" spans="1:13" ht="17.45" customHeight="1" x14ac:dyDescent="0.2">
      <c r="A1007" s="140" t="s">
        <v>1295</v>
      </c>
      <c r="B1007" s="146" t="s">
        <v>46</v>
      </c>
      <c r="C1007" s="271" t="s">
        <v>1295</v>
      </c>
      <c r="D1007" s="194" t="s">
        <v>45</v>
      </c>
      <c r="E1007" s="482" t="s">
        <v>1851</v>
      </c>
      <c r="F1007" s="482"/>
      <c r="G1007" s="482"/>
      <c r="H1007" s="483"/>
      <c r="I1007" s="181" t="s">
        <v>116</v>
      </c>
      <c r="J1007" s="183" t="s">
        <v>3</v>
      </c>
      <c r="K1007" s="184">
        <v>666.4</v>
      </c>
      <c r="L1007" s="188">
        <v>3361.49</v>
      </c>
      <c r="M1007" s="189">
        <v>0</v>
      </c>
    </row>
    <row r="1008" spans="1:13" ht="17.45" customHeight="1" x14ac:dyDescent="0.2">
      <c r="A1008" s="148"/>
      <c r="B1008" s="270"/>
      <c r="C1008" s="179" t="s">
        <v>1247</v>
      </c>
      <c r="D1008" s="484" t="s">
        <v>6</v>
      </c>
      <c r="E1008" s="485"/>
      <c r="F1008" s="485"/>
      <c r="G1008" s="486"/>
      <c r="H1008" s="485"/>
      <c r="I1008" s="485"/>
      <c r="J1008" s="487"/>
      <c r="K1008" s="182"/>
    </row>
    <row r="1009" spans="1:11" ht="15" customHeight="1" x14ac:dyDescent="0.2">
      <c r="A1009" s="140"/>
      <c r="B1009" s="150" t="s">
        <v>29</v>
      </c>
      <c r="C1009" s="151" t="s">
        <v>66</v>
      </c>
      <c r="D1009" s="195" t="s">
        <v>7</v>
      </c>
      <c r="E1009" s="152" t="s">
        <v>30</v>
      </c>
      <c r="F1009" s="152" t="s">
        <v>112</v>
      </c>
      <c r="G1009" s="488" t="s">
        <v>110</v>
      </c>
      <c r="H1009" s="489"/>
      <c r="I1009" s="488" t="s">
        <v>111</v>
      </c>
      <c r="J1009" s="490"/>
      <c r="K1009" s="182"/>
    </row>
    <row r="1010" spans="1:11" ht="25.5" customHeight="1" x14ac:dyDescent="0.2">
      <c r="A1010" s="140"/>
      <c r="B1010" s="301" t="s">
        <v>100</v>
      </c>
      <c r="C1010" s="154">
        <v>88261</v>
      </c>
      <c r="D1010" s="191" t="s">
        <v>53</v>
      </c>
      <c r="E1010" s="155" t="s">
        <v>48</v>
      </c>
      <c r="F1010" s="156">
        <v>8.5289999999999999</v>
      </c>
      <c r="G1010" s="428">
        <v>43.11999999999999</v>
      </c>
      <c r="H1010" s="429" t="e">
        <v>#N/A</v>
      </c>
      <c r="I1010" s="430">
        <v>367.77</v>
      </c>
      <c r="J1010" s="431"/>
    </row>
    <row r="1011" spans="1:11" ht="25.5" customHeight="1" x14ac:dyDescent="0.2">
      <c r="A1011" s="140"/>
      <c r="B1011" s="157" t="s">
        <v>100</v>
      </c>
      <c r="C1011" s="158">
        <v>88239</v>
      </c>
      <c r="D1011" s="196" t="s">
        <v>50</v>
      </c>
      <c r="E1011" s="302" t="s">
        <v>48</v>
      </c>
      <c r="F1011" s="303">
        <v>9.1240000000000006</v>
      </c>
      <c r="G1011" s="432">
        <v>32.729999999999997</v>
      </c>
      <c r="H1011" s="433" t="e">
        <v>#N/A</v>
      </c>
      <c r="I1011" s="434">
        <v>298.63</v>
      </c>
      <c r="J1011" s="435"/>
    </row>
    <row r="1012" spans="1:11" ht="17.45" customHeight="1" x14ac:dyDescent="0.2">
      <c r="A1012" s="140"/>
      <c r="B1012" s="161"/>
      <c r="C1012" s="162"/>
      <c r="D1012" s="197"/>
      <c r="E1012" s="163"/>
      <c r="F1012" s="163"/>
      <c r="G1012" s="456"/>
      <c r="H1012" s="457"/>
      <c r="I1012" s="464"/>
      <c r="J1012" s="465"/>
    </row>
    <row r="1013" spans="1:11" ht="17.45" customHeight="1" x14ac:dyDescent="0.2">
      <c r="A1013" s="136"/>
      <c r="B1013" s="466" t="s">
        <v>44</v>
      </c>
      <c r="C1013" s="467"/>
      <c r="D1013" s="468"/>
      <c r="E1013" s="468"/>
      <c r="F1013" s="468"/>
      <c r="G1013" s="468"/>
      <c r="H1013" s="468"/>
      <c r="I1013" s="469">
        <v>666.4</v>
      </c>
      <c r="J1013" s="470"/>
    </row>
    <row r="1014" spans="1:11" ht="17.45" customHeight="1" x14ac:dyDescent="0.2">
      <c r="A1014" s="136"/>
      <c r="B1014" s="466" t="s">
        <v>117</v>
      </c>
      <c r="C1014" s="467"/>
      <c r="D1014" s="468"/>
      <c r="E1014" s="468"/>
      <c r="F1014" s="164"/>
      <c r="G1014" s="276"/>
      <c r="H1014" s="274"/>
      <c r="I1014" s="471">
        <v>0</v>
      </c>
      <c r="J1014" s="472"/>
    </row>
    <row r="1015" spans="1:11" ht="17.45" customHeight="1" x14ac:dyDescent="0.2">
      <c r="A1015" s="136"/>
      <c r="B1015" s="439" t="s">
        <v>8</v>
      </c>
      <c r="C1015" s="440"/>
      <c r="D1015" s="441"/>
      <c r="E1015" s="441"/>
      <c r="F1015" s="441"/>
      <c r="G1015" s="441"/>
      <c r="H1015" s="441"/>
      <c r="I1015" s="473">
        <v>666.4</v>
      </c>
      <c r="J1015" s="474"/>
    </row>
    <row r="1016" spans="1:11" ht="17.45" customHeight="1" x14ac:dyDescent="0.2">
      <c r="A1016" s="148"/>
      <c r="B1016" s="275"/>
      <c r="C1016" s="142"/>
      <c r="D1016" s="475" t="s">
        <v>9</v>
      </c>
      <c r="E1016" s="475"/>
      <c r="F1016" s="460"/>
      <c r="G1016" s="460"/>
      <c r="H1016" s="460"/>
      <c r="I1016" s="460"/>
      <c r="J1016" s="461"/>
    </row>
    <row r="1017" spans="1:11" ht="30" customHeight="1" x14ac:dyDescent="0.2">
      <c r="A1017" s="140"/>
      <c r="B1017" s="170" t="s">
        <v>29</v>
      </c>
      <c r="C1017" s="151" t="s">
        <v>66</v>
      </c>
      <c r="D1017" s="198" t="s">
        <v>7</v>
      </c>
      <c r="E1017" s="171" t="s">
        <v>0</v>
      </c>
      <c r="F1017" s="171" t="s">
        <v>10</v>
      </c>
      <c r="G1017" s="462" t="s">
        <v>11</v>
      </c>
      <c r="H1017" s="462"/>
      <c r="I1017" s="462" t="s">
        <v>12</v>
      </c>
      <c r="J1017" s="463"/>
    </row>
    <row r="1018" spans="1:11" x14ac:dyDescent="0.2">
      <c r="A1018" s="140"/>
      <c r="B1018" s="304" t="s">
        <v>135</v>
      </c>
      <c r="C1018" s="154" t="s">
        <v>1857</v>
      </c>
      <c r="D1018" s="305" t="s">
        <v>1858</v>
      </c>
      <c r="E1018" s="306" t="s">
        <v>30</v>
      </c>
      <c r="F1018" s="307">
        <v>2</v>
      </c>
      <c r="G1018" s="491">
        <v>158.9</v>
      </c>
      <c r="H1018" s="491" t="e">
        <v>#N/A</v>
      </c>
      <c r="I1018" s="430">
        <v>317.8</v>
      </c>
      <c r="J1018" s="431"/>
      <c r="K1018" s="291"/>
    </row>
    <row r="1019" spans="1:11" ht="25.5" x14ac:dyDescent="0.2">
      <c r="A1019" s="140"/>
      <c r="B1019" s="304" t="s">
        <v>1821</v>
      </c>
      <c r="C1019" s="158">
        <v>32530</v>
      </c>
      <c r="D1019" s="305" t="s">
        <v>2341</v>
      </c>
      <c r="E1019" s="306" t="s">
        <v>57</v>
      </c>
      <c r="F1019" s="307">
        <v>10.16</v>
      </c>
      <c r="G1019" s="491">
        <v>123.92</v>
      </c>
      <c r="H1019" s="491" t="e">
        <v>#N/A</v>
      </c>
      <c r="I1019" s="430">
        <v>1259.03</v>
      </c>
      <c r="J1019" s="431"/>
      <c r="K1019" s="291"/>
    </row>
    <row r="1020" spans="1:11" ht="25.5" x14ac:dyDescent="0.2">
      <c r="A1020" s="140"/>
      <c r="B1020" s="304" t="s">
        <v>31</v>
      </c>
      <c r="C1020" s="158">
        <v>1339</v>
      </c>
      <c r="D1020" s="305" t="s">
        <v>1844</v>
      </c>
      <c r="E1020" s="306" t="s">
        <v>102</v>
      </c>
      <c r="F1020" s="307">
        <v>0.97</v>
      </c>
      <c r="G1020" s="491">
        <v>46.19</v>
      </c>
      <c r="H1020" s="491" t="e">
        <v>#N/A</v>
      </c>
      <c r="I1020" s="430">
        <v>44.8</v>
      </c>
      <c r="J1020" s="431"/>
    </row>
    <row r="1021" spans="1:11" x14ac:dyDescent="0.2">
      <c r="A1021" s="140"/>
      <c r="B1021" s="304" t="s">
        <v>1821</v>
      </c>
      <c r="C1021" s="158">
        <v>30501</v>
      </c>
      <c r="D1021" s="305" t="s">
        <v>1853</v>
      </c>
      <c r="E1021" s="306" t="s">
        <v>2</v>
      </c>
      <c r="F1021" s="307">
        <v>5.8</v>
      </c>
      <c r="G1021" s="491">
        <v>226.88</v>
      </c>
      <c r="H1021" s="491" t="e">
        <v>#N/A</v>
      </c>
      <c r="I1021" s="430">
        <v>1315.9</v>
      </c>
      <c r="J1021" s="431"/>
    </row>
    <row r="1022" spans="1:11" ht="25.5" x14ac:dyDescent="0.2">
      <c r="A1022" s="140"/>
      <c r="B1022" s="304" t="s">
        <v>31</v>
      </c>
      <c r="C1022" s="158">
        <v>38124</v>
      </c>
      <c r="D1022" s="305" t="s">
        <v>1846</v>
      </c>
      <c r="E1022" s="306" t="s">
        <v>3</v>
      </c>
      <c r="F1022" s="307">
        <v>0.79</v>
      </c>
      <c r="G1022" s="491">
        <v>29.9</v>
      </c>
      <c r="H1022" s="491" t="e">
        <v>#N/A</v>
      </c>
      <c r="I1022" s="430">
        <v>23.62</v>
      </c>
      <c r="J1022" s="431"/>
    </row>
    <row r="1023" spans="1:11" ht="38.25" x14ac:dyDescent="0.2">
      <c r="A1023" s="140"/>
      <c r="B1023" s="304" t="s">
        <v>31</v>
      </c>
      <c r="C1023" s="158">
        <v>2432</v>
      </c>
      <c r="D1023" s="305" t="s">
        <v>1845</v>
      </c>
      <c r="E1023" s="306" t="s">
        <v>101</v>
      </c>
      <c r="F1023" s="307">
        <v>6</v>
      </c>
      <c r="G1023" s="491">
        <v>30.5</v>
      </c>
      <c r="H1023" s="491" t="e">
        <v>#N/A</v>
      </c>
      <c r="I1023" s="430">
        <v>183</v>
      </c>
      <c r="J1023" s="431"/>
    </row>
    <row r="1024" spans="1:11" ht="63.75" x14ac:dyDescent="0.2">
      <c r="A1024" s="140"/>
      <c r="B1024" s="304" t="s">
        <v>31</v>
      </c>
      <c r="C1024" s="158">
        <v>38151</v>
      </c>
      <c r="D1024" s="305" t="s">
        <v>1847</v>
      </c>
      <c r="E1024" s="306" t="s">
        <v>26</v>
      </c>
      <c r="F1024" s="307">
        <v>1</v>
      </c>
      <c r="G1024" s="491">
        <v>110.34</v>
      </c>
      <c r="H1024" s="491" t="e">
        <v>#N/A</v>
      </c>
      <c r="I1024" s="430">
        <v>110.34</v>
      </c>
      <c r="J1024" s="431"/>
    </row>
    <row r="1025" spans="1:12" ht="51" x14ac:dyDescent="0.2">
      <c r="A1025" s="140"/>
      <c r="B1025" s="304" t="s">
        <v>31</v>
      </c>
      <c r="C1025" s="158">
        <v>43575</v>
      </c>
      <c r="D1025" s="305" t="s">
        <v>1848</v>
      </c>
      <c r="E1025" s="306" t="s">
        <v>3</v>
      </c>
      <c r="F1025" s="307">
        <v>2</v>
      </c>
      <c r="G1025" s="491">
        <v>53.5</v>
      </c>
      <c r="H1025" s="491" t="e">
        <v>#N/A</v>
      </c>
      <c r="I1025" s="430">
        <v>107</v>
      </c>
      <c r="J1025" s="431"/>
    </row>
    <row r="1026" spans="1:12" ht="17.45" customHeight="1" x14ac:dyDescent="0.2">
      <c r="A1026" s="140"/>
      <c r="B1026" s="175"/>
      <c r="C1026" s="287"/>
      <c r="D1026" s="308"/>
      <c r="E1026" s="287"/>
      <c r="F1026" s="287"/>
      <c r="G1026" s="464"/>
      <c r="H1026" s="464"/>
      <c r="I1026" s="492"/>
      <c r="J1026" s="459"/>
    </row>
    <row r="1027" spans="1:12" ht="17.45" customHeight="1" x14ac:dyDescent="0.2">
      <c r="A1027" s="136"/>
      <c r="B1027" s="439" t="s">
        <v>13</v>
      </c>
      <c r="C1027" s="440"/>
      <c r="D1027" s="441"/>
      <c r="E1027" s="441"/>
      <c r="F1027" s="441"/>
      <c r="G1027" s="441"/>
      <c r="H1027" s="441"/>
      <c r="I1027" s="446">
        <v>3361.49</v>
      </c>
      <c r="J1027" s="447"/>
    </row>
    <row r="1028" spans="1:12" ht="17.45" customHeight="1" x14ac:dyDescent="0.2">
      <c r="A1028" s="148"/>
      <c r="B1028" s="270"/>
      <c r="C1028" s="271"/>
      <c r="D1028" s="460" t="s">
        <v>14</v>
      </c>
      <c r="E1028" s="460"/>
      <c r="F1028" s="460"/>
      <c r="G1028" s="460"/>
      <c r="H1028" s="460"/>
      <c r="I1028" s="460"/>
      <c r="J1028" s="461"/>
    </row>
    <row r="1029" spans="1:12" ht="30" customHeight="1" x14ac:dyDescent="0.2">
      <c r="A1029" s="140"/>
      <c r="B1029" s="170" t="s">
        <v>29</v>
      </c>
      <c r="C1029" s="176"/>
      <c r="D1029" s="198" t="s">
        <v>7</v>
      </c>
      <c r="E1029" s="171" t="s">
        <v>0</v>
      </c>
      <c r="F1029" s="171" t="s">
        <v>10</v>
      </c>
      <c r="G1029" s="462" t="s">
        <v>11</v>
      </c>
      <c r="H1029" s="462"/>
      <c r="I1029" s="462" t="s">
        <v>12</v>
      </c>
      <c r="J1029" s="463"/>
    </row>
    <row r="1030" spans="1:12" x14ac:dyDescent="0.2">
      <c r="A1030" s="140"/>
      <c r="B1030" s="172"/>
      <c r="C1030" s="154"/>
      <c r="D1030" s="191"/>
      <c r="E1030" s="155"/>
      <c r="F1030" s="156"/>
      <c r="G1030" s="428"/>
      <c r="H1030" s="429"/>
      <c r="I1030" s="430"/>
      <c r="J1030" s="431"/>
    </row>
    <row r="1031" spans="1:12" x14ac:dyDescent="0.2">
      <c r="A1031" s="140"/>
      <c r="B1031" s="157"/>
      <c r="C1031" s="158"/>
      <c r="D1031" s="196"/>
      <c r="E1031" s="159"/>
      <c r="F1031" s="160"/>
      <c r="G1031" s="432"/>
      <c r="H1031" s="433"/>
      <c r="I1031" s="434"/>
      <c r="J1031" s="435"/>
    </row>
    <row r="1032" spans="1:12" ht="17.45" customHeight="1" x14ac:dyDescent="0.2">
      <c r="A1032" s="140"/>
      <c r="B1032" s="175"/>
      <c r="C1032" s="162"/>
      <c r="D1032" s="199"/>
      <c r="E1032" s="163"/>
      <c r="F1032" s="177"/>
      <c r="G1032" s="436"/>
      <c r="H1032" s="437"/>
      <c r="I1032" s="436"/>
      <c r="J1032" s="438"/>
    </row>
    <row r="1033" spans="1:12" ht="17.45" customHeight="1" x14ac:dyDescent="0.2">
      <c r="A1033" s="136"/>
      <c r="B1033" s="439" t="s">
        <v>15</v>
      </c>
      <c r="C1033" s="440"/>
      <c r="D1033" s="441"/>
      <c r="E1033" s="441"/>
      <c r="F1033" s="441"/>
      <c r="G1033" s="441"/>
      <c r="H1033" s="441"/>
      <c r="I1033" s="442">
        <v>0</v>
      </c>
      <c r="J1033" s="443"/>
    </row>
    <row r="1034" spans="1:12" ht="17.45" customHeight="1" x14ac:dyDescent="0.2">
      <c r="A1034" s="136"/>
      <c r="B1034" s="439" t="s">
        <v>16</v>
      </c>
      <c r="C1034" s="440"/>
      <c r="D1034" s="441"/>
      <c r="E1034" s="441"/>
      <c r="F1034" s="441"/>
      <c r="G1034" s="441"/>
      <c r="H1034" s="441"/>
      <c r="I1034" s="444">
        <v>4027.89</v>
      </c>
      <c r="J1034" s="445"/>
    </row>
    <row r="1035" spans="1:12" ht="17.45" customHeight="1" x14ac:dyDescent="0.2">
      <c r="A1035" s="140"/>
      <c r="B1035" s="178"/>
      <c r="C1035" s="179"/>
      <c r="D1035" s="193" t="s">
        <v>17</v>
      </c>
      <c r="E1035" s="180"/>
      <c r="F1035" s="164">
        <v>0</v>
      </c>
      <c r="G1035" s="272"/>
      <c r="H1035" s="272"/>
      <c r="I1035" s="446">
        <v>0</v>
      </c>
      <c r="J1035" s="447"/>
    </row>
    <row r="1036" spans="1:12" ht="17.45" customHeight="1" x14ac:dyDescent="0.2">
      <c r="A1036" s="136"/>
      <c r="B1036" s="439" t="s">
        <v>18</v>
      </c>
      <c r="C1036" s="440"/>
      <c r="D1036" s="441"/>
      <c r="E1036" s="441"/>
      <c r="F1036" s="441"/>
      <c r="G1036" s="441"/>
      <c r="H1036" s="441"/>
      <c r="I1036" s="448">
        <v>4027.89</v>
      </c>
      <c r="J1036" s="449"/>
    </row>
    <row r="1037" spans="1:12" ht="17.45" customHeight="1" x14ac:dyDescent="0.2">
      <c r="A1037" s="141"/>
      <c r="B1037" s="450" t="s">
        <v>1855</v>
      </c>
      <c r="C1037" s="451"/>
      <c r="D1037" s="451"/>
      <c r="E1037" s="451"/>
      <c r="F1037" s="451"/>
      <c r="G1037" s="451"/>
      <c r="H1037" s="451"/>
      <c r="I1037" s="451"/>
      <c r="J1037" s="452"/>
    </row>
    <row r="1038" spans="1:12" ht="17.45" customHeight="1" thickBot="1" x14ac:dyDescent="0.25">
      <c r="A1038" s="140"/>
      <c r="B1038" s="453"/>
      <c r="C1038" s="454"/>
      <c r="D1038" s="454"/>
      <c r="E1038" s="454"/>
      <c r="F1038" s="454"/>
      <c r="G1038" s="454"/>
      <c r="H1038" s="454"/>
      <c r="I1038" s="454"/>
      <c r="J1038" s="455"/>
    </row>
    <row r="1039" spans="1:12" ht="13.5" thickBot="1" x14ac:dyDescent="0.25"/>
    <row r="1040" spans="1:12" ht="17.45" customHeight="1" x14ac:dyDescent="0.2">
      <c r="A1040" s="136"/>
      <c r="B1040" s="476" t="s">
        <v>25</v>
      </c>
      <c r="C1040" s="477"/>
      <c r="D1040" s="477"/>
      <c r="E1040" s="477"/>
      <c r="F1040" s="477"/>
      <c r="G1040" s="477"/>
      <c r="H1040" s="477"/>
      <c r="I1040" s="477"/>
      <c r="J1040" s="478"/>
      <c r="K1040" s="190"/>
      <c r="L1040" s="137"/>
    </row>
    <row r="1041" spans="1:13" ht="17.45" customHeight="1" x14ac:dyDescent="0.2">
      <c r="A1041" s="141"/>
      <c r="B1041" s="144" t="s">
        <v>43</v>
      </c>
      <c r="C1041" s="286" t="s">
        <v>108</v>
      </c>
      <c r="D1041" s="193"/>
      <c r="E1041" s="285"/>
      <c r="F1041" s="143" t="s">
        <v>113</v>
      </c>
      <c r="G1041" s="479"/>
      <c r="H1041" s="479"/>
      <c r="I1041" s="145"/>
      <c r="J1041" s="249">
        <v>44682</v>
      </c>
      <c r="K1041" s="190"/>
      <c r="L1041" s="137"/>
    </row>
    <row r="1042" spans="1:13" ht="29.25" customHeight="1" x14ac:dyDescent="0.2">
      <c r="A1042" s="141"/>
      <c r="B1042" s="144" t="s">
        <v>4</v>
      </c>
      <c r="C1042" s="480" t="s">
        <v>1877</v>
      </c>
      <c r="D1042" s="480" t="e">
        <v>#N/A</v>
      </c>
      <c r="E1042" s="480" t="e">
        <v>#N/A</v>
      </c>
      <c r="F1042" s="480" t="e">
        <v>#N/A</v>
      </c>
      <c r="G1042" s="480" t="e">
        <v>#N/A</v>
      </c>
      <c r="H1042" s="480" t="e">
        <v>#N/A</v>
      </c>
      <c r="I1042" s="480" t="e">
        <v>#N/A</v>
      </c>
      <c r="J1042" s="481" t="e">
        <v>#N/A</v>
      </c>
      <c r="K1042" s="185" t="s">
        <v>114</v>
      </c>
      <c r="L1042" s="186" t="s">
        <v>89</v>
      </c>
      <c r="M1042" s="187" t="s">
        <v>115</v>
      </c>
    </row>
    <row r="1043" spans="1:13" ht="17.45" customHeight="1" x14ac:dyDescent="0.2">
      <c r="A1043" s="140" t="s">
        <v>1296</v>
      </c>
      <c r="B1043" s="146" t="s">
        <v>46</v>
      </c>
      <c r="C1043" s="284" t="s">
        <v>1296</v>
      </c>
      <c r="D1043" s="194" t="s">
        <v>45</v>
      </c>
      <c r="E1043" s="482" t="s">
        <v>1878</v>
      </c>
      <c r="F1043" s="482"/>
      <c r="G1043" s="482"/>
      <c r="H1043" s="483"/>
      <c r="I1043" s="181" t="s">
        <v>116</v>
      </c>
      <c r="J1043" s="183" t="s">
        <v>58</v>
      </c>
      <c r="K1043" s="184">
        <v>246.42</v>
      </c>
      <c r="L1043" s="188">
        <v>213.42</v>
      </c>
      <c r="M1043" s="189">
        <v>0</v>
      </c>
    </row>
    <row r="1044" spans="1:13" ht="17.45" customHeight="1" x14ac:dyDescent="0.2">
      <c r="A1044" s="148"/>
      <c r="B1044" s="283"/>
      <c r="C1044" s="179" t="s">
        <v>1247</v>
      </c>
      <c r="D1044" s="484" t="s">
        <v>6</v>
      </c>
      <c r="E1044" s="485"/>
      <c r="F1044" s="485"/>
      <c r="G1044" s="486"/>
      <c r="H1044" s="485"/>
      <c r="I1044" s="485"/>
      <c r="J1044" s="487"/>
      <c r="K1044" s="182"/>
    </row>
    <row r="1045" spans="1:13" ht="15" customHeight="1" x14ac:dyDescent="0.2">
      <c r="A1045" s="140"/>
      <c r="B1045" s="150" t="s">
        <v>29</v>
      </c>
      <c r="C1045" s="151" t="s">
        <v>66</v>
      </c>
      <c r="D1045" s="195" t="s">
        <v>7</v>
      </c>
      <c r="E1045" s="152" t="s">
        <v>30</v>
      </c>
      <c r="F1045" s="152" t="s">
        <v>112</v>
      </c>
      <c r="G1045" s="488" t="s">
        <v>110</v>
      </c>
      <c r="H1045" s="489"/>
      <c r="I1045" s="488" t="s">
        <v>111</v>
      </c>
      <c r="J1045" s="490"/>
      <c r="K1045" s="182"/>
    </row>
    <row r="1046" spans="1:13" ht="25.5" customHeight="1" x14ac:dyDescent="0.2">
      <c r="A1046" s="140"/>
      <c r="B1046" s="301" t="s">
        <v>100</v>
      </c>
      <c r="C1046" s="154">
        <v>88316</v>
      </c>
      <c r="D1046" s="191" t="s">
        <v>56</v>
      </c>
      <c r="E1046" s="155" t="s">
        <v>48</v>
      </c>
      <c r="F1046" s="156">
        <v>7.6719999999999997</v>
      </c>
      <c r="G1046" s="428">
        <v>32.119999999999997</v>
      </c>
      <c r="H1046" s="429" t="e">
        <v>#N/A</v>
      </c>
      <c r="I1046" s="430">
        <v>246.42</v>
      </c>
      <c r="J1046" s="431"/>
    </row>
    <row r="1047" spans="1:13" ht="25.5" customHeight="1" x14ac:dyDescent="0.2">
      <c r="A1047" s="140"/>
      <c r="B1047" s="157"/>
      <c r="C1047" s="158"/>
      <c r="D1047" s="196"/>
      <c r="E1047" s="302"/>
      <c r="F1047" s="303"/>
      <c r="G1047" s="432"/>
      <c r="H1047" s="433"/>
      <c r="I1047" s="434"/>
      <c r="J1047" s="435"/>
    </row>
    <row r="1048" spans="1:13" ht="17.45" customHeight="1" x14ac:dyDescent="0.2">
      <c r="A1048" s="140"/>
      <c r="B1048" s="161"/>
      <c r="C1048" s="162"/>
      <c r="D1048" s="197"/>
      <c r="E1048" s="163"/>
      <c r="F1048" s="163"/>
      <c r="G1048" s="456"/>
      <c r="H1048" s="457"/>
      <c r="I1048" s="464"/>
      <c r="J1048" s="465"/>
    </row>
    <row r="1049" spans="1:13" ht="17.45" customHeight="1" x14ac:dyDescent="0.2">
      <c r="A1049" s="136"/>
      <c r="B1049" s="466" t="s">
        <v>44</v>
      </c>
      <c r="C1049" s="467"/>
      <c r="D1049" s="468"/>
      <c r="E1049" s="468"/>
      <c r="F1049" s="468"/>
      <c r="G1049" s="468"/>
      <c r="H1049" s="468"/>
      <c r="I1049" s="469">
        <v>246.42</v>
      </c>
      <c r="J1049" s="470"/>
    </row>
    <row r="1050" spans="1:13" ht="17.45" customHeight="1" x14ac:dyDescent="0.2">
      <c r="A1050" s="136"/>
      <c r="B1050" s="466" t="s">
        <v>117</v>
      </c>
      <c r="C1050" s="467"/>
      <c r="D1050" s="468"/>
      <c r="E1050" s="468"/>
      <c r="F1050" s="164"/>
      <c r="G1050" s="289"/>
      <c r="H1050" s="287"/>
      <c r="I1050" s="471">
        <v>0</v>
      </c>
      <c r="J1050" s="472"/>
    </row>
    <row r="1051" spans="1:13" ht="17.45" customHeight="1" x14ac:dyDescent="0.2">
      <c r="A1051" s="136"/>
      <c r="B1051" s="439" t="s">
        <v>8</v>
      </c>
      <c r="C1051" s="440"/>
      <c r="D1051" s="441"/>
      <c r="E1051" s="441"/>
      <c r="F1051" s="441"/>
      <c r="G1051" s="441"/>
      <c r="H1051" s="441"/>
      <c r="I1051" s="473">
        <v>246.42</v>
      </c>
      <c r="J1051" s="474"/>
    </row>
    <row r="1052" spans="1:13" ht="17.45" customHeight="1" x14ac:dyDescent="0.2">
      <c r="A1052" s="148"/>
      <c r="B1052" s="288"/>
      <c r="C1052" s="142"/>
      <c r="D1052" s="475" t="s">
        <v>9</v>
      </c>
      <c r="E1052" s="475"/>
      <c r="F1052" s="460"/>
      <c r="G1052" s="460"/>
      <c r="H1052" s="460"/>
      <c r="I1052" s="460"/>
      <c r="J1052" s="461"/>
    </row>
    <row r="1053" spans="1:13" ht="30" customHeight="1" x14ac:dyDescent="0.2">
      <c r="A1053" s="140"/>
      <c r="B1053" s="170" t="s">
        <v>29</v>
      </c>
      <c r="C1053" s="151" t="s">
        <v>66</v>
      </c>
      <c r="D1053" s="198" t="s">
        <v>7</v>
      </c>
      <c r="E1053" s="171" t="s">
        <v>0</v>
      </c>
      <c r="F1053" s="171" t="s">
        <v>10</v>
      </c>
      <c r="G1053" s="462" t="s">
        <v>11</v>
      </c>
      <c r="H1053" s="462"/>
      <c r="I1053" s="462" t="s">
        <v>12</v>
      </c>
      <c r="J1053" s="463"/>
    </row>
    <row r="1054" spans="1:13" x14ac:dyDescent="0.2">
      <c r="A1054" s="140"/>
      <c r="B1054" s="301" t="s">
        <v>31</v>
      </c>
      <c r="C1054" s="154">
        <v>7253</v>
      </c>
      <c r="D1054" s="191" t="s">
        <v>1879</v>
      </c>
      <c r="E1054" s="155" t="s">
        <v>58</v>
      </c>
      <c r="F1054" s="156">
        <v>1.2</v>
      </c>
      <c r="G1054" s="428">
        <v>177.85</v>
      </c>
      <c r="H1054" s="429" t="e">
        <v>#N/A</v>
      </c>
      <c r="I1054" s="430">
        <v>213.42</v>
      </c>
      <c r="J1054" s="431"/>
      <c r="K1054" s="291"/>
    </row>
    <row r="1055" spans="1:13" x14ac:dyDescent="0.2">
      <c r="A1055" s="140"/>
      <c r="B1055" s="157"/>
      <c r="C1055" s="158"/>
      <c r="D1055" s="196"/>
      <c r="E1055" s="302"/>
      <c r="F1055" s="303"/>
      <c r="G1055" s="432"/>
      <c r="H1055" s="433"/>
      <c r="I1055" s="434"/>
      <c r="J1055" s="435"/>
      <c r="K1055" s="291"/>
    </row>
    <row r="1056" spans="1:13" x14ac:dyDescent="0.2">
      <c r="A1056" s="140"/>
      <c r="B1056" s="157"/>
      <c r="C1056" s="158"/>
      <c r="D1056" s="196"/>
      <c r="E1056" s="302"/>
      <c r="F1056" s="303"/>
      <c r="G1056" s="432"/>
      <c r="H1056" s="433"/>
      <c r="I1056" s="434"/>
      <c r="J1056" s="435"/>
    </row>
    <row r="1057" spans="1:10" x14ac:dyDescent="0.2">
      <c r="A1057" s="140"/>
      <c r="B1057" s="157"/>
      <c r="C1057" s="158"/>
      <c r="D1057" s="196"/>
      <c r="E1057" s="302"/>
      <c r="F1057" s="303"/>
      <c r="G1057" s="432"/>
      <c r="H1057" s="433"/>
      <c r="I1057" s="434"/>
      <c r="J1057" s="435"/>
    </row>
    <row r="1058" spans="1:10" x14ac:dyDescent="0.2">
      <c r="A1058" s="140"/>
      <c r="B1058" s="157"/>
      <c r="C1058" s="158"/>
      <c r="D1058" s="196"/>
      <c r="E1058" s="302"/>
      <c r="F1058" s="303"/>
      <c r="G1058" s="432"/>
      <c r="H1058" s="433"/>
      <c r="I1058" s="434"/>
      <c r="J1058" s="435"/>
    </row>
    <row r="1059" spans="1:10" x14ac:dyDescent="0.2">
      <c r="A1059" s="140"/>
      <c r="B1059" s="157"/>
      <c r="C1059" s="158"/>
      <c r="D1059" s="196"/>
      <c r="E1059" s="302"/>
      <c r="F1059" s="303"/>
      <c r="G1059" s="432"/>
      <c r="H1059" s="433"/>
      <c r="I1059" s="434"/>
      <c r="J1059" s="435"/>
    </row>
    <row r="1060" spans="1:10" x14ac:dyDescent="0.2">
      <c r="A1060" s="140"/>
      <c r="B1060" s="157"/>
      <c r="C1060" s="158"/>
      <c r="D1060" s="196"/>
      <c r="E1060" s="302"/>
      <c r="F1060" s="303"/>
      <c r="G1060" s="432"/>
      <c r="H1060" s="433"/>
      <c r="I1060" s="434"/>
      <c r="J1060" s="435"/>
    </row>
    <row r="1061" spans="1:10" x14ac:dyDescent="0.2">
      <c r="A1061" s="140"/>
      <c r="B1061" s="157"/>
      <c r="C1061" s="158"/>
      <c r="D1061" s="196"/>
      <c r="E1061" s="302"/>
      <c r="F1061" s="303"/>
      <c r="G1061" s="432"/>
      <c r="H1061" s="433"/>
      <c r="I1061" s="434"/>
      <c r="J1061" s="435"/>
    </row>
    <row r="1062" spans="1:10" ht="17.45" customHeight="1" x14ac:dyDescent="0.2">
      <c r="A1062" s="140"/>
      <c r="B1062" s="175"/>
      <c r="C1062" s="248"/>
      <c r="D1062" s="199"/>
      <c r="E1062" s="163"/>
      <c r="F1062" s="163"/>
      <c r="G1062" s="456"/>
      <c r="H1062" s="457"/>
      <c r="I1062" s="458"/>
      <c r="J1062" s="459"/>
    </row>
    <row r="1063" spans="1:10" ht="17.45" customHeight="1" x14ac:dyDescent="0.2">
      <c r="A1063" s="136"/>
      <c r="B1063" s="439" t="s">
        <v>13</v>
      </c>
      <c r="C1063" s="440"/>
      <c r="D1063" s="441"/>
      <c r="E1063" s="441"/>
      <c r="F1063" s="441"/>
      <c r="G1063" s="441"/>
      <c r="H1063" s="441"/>
      <c r="I1063" s="446">
        <v>213.42</v>
      </c>
      <c r="J1063" s="447"/>
    </row>
    <row r="1064" spans="1:10" ht="17.45" customHeight="1" x14ac:dyDescent="0.2">
      <c r="A1064" s="148"/>
      <c r="B1064" s="283"/>
      <c r="C1064" s="284"/>
      <c r="D1064" s="460" t="s">
        <v>14</v>
      </c>
      <c r="E1064" s="460"/>
      <c r="F1064" s="460"/>
      <c r="G1064" s="460"/>
      <c r="H1064" s="460"/>
      <c r="I1064" s="460"/>
      <c r="J1064" s="461"/>
    </row>
    <row r="1065" spans="1:10" ht="30" customHeight="1" x14ac:dyDescent="0.2">
      <c r="A1065" s="140"/>
      <c r="B1065" s="170" t="s">
        <v>29</v>
      </c>
      <c r="C1065" s="176"/>
      <c r="D1065" s="198" t="s">
        <v>7</v>
      </c>
      <c r="E1065" s="171" t="s">
        <v>0</v>
      </c>
      <c r="F1065" s="171" t="s">
        <v>10</v>
      </c>
      <c r="G1065" s="462" t="s">
        <v>11</v>
      </c>
      <c r="H1065" s="462"/>
      <c r="I1065" s="462" t="s">
        <v>12</v>
      </c>
      <c r="J1065" s="463"/>
    </row>
    <row r="1066" spans="1:10" x14ac:dyDescent="0.2">
      <c r="A1066" s="140"/>
      <c r="B1066" s="172"/>
      <c r="C1066" s="154"/>
      <c r="D1066" s="191"/>
      <c r="E1066" s="155"/>
      <c r="F1066" s="156"/>
      <c r="G1066" s="428"/>
      <c r="H1066" s="429"/>
      <c r="I1066" s="430"/>
      <c r="J1066" s="431"/>
    </row>
    <row r="1067" spans="1:10" x14ac:dyDescent="0.2">
      <c r="A1067" s="140"/>
      <c r="B1067" s="157"/>
      <c r="C1067" s="158"/>
      <c r="D1067" s="196"/>
      <c r="E1067" s="159"/>
      <c r="F1067" s="160"/>
      <c r="G1067" s="432"/>
      <c r="H1067" s="433"/>
      <c r="I1067" s="434"/>
      <c r="J1067" s="435"/>
    </row>
    <row r="1068" spans="1:10" ht="17.45" customHeight="1" x14ac:dyDescent="0.2">
      <c r="A1068" s="140"/>
      <c r="B1068" s="175"/>
      <c r="C1068" s="162"/>
      <c r="D1068" s="199"/>
      <c r="E1068" s="163"/>
      <c r="F1068" s="177"/>
      <c r="G1068" s="436"/>
      <c r="H1068" s="437"/>
      <c r="I1068" s="436"/>
      <c r="J1068" s="438"/>
    </row>
    <row r="1069" spans="1:10" ht="17.45" customHeight="1" x14ac:dyDescent="0.2">
      <c r="A1069" s="136"/>
      <c r="B1069" s="439" t="s">
        <v>15</v>
      </c>
      <c r="C1069" s="440"/>
      <c r="D1069" s="441"/>
      <c r="E1069" s="441"/>
      <c r="F1069" s="441"/>
      <c r="G1069" s="441"/>
      <c r="H1069" s="441"/>
      <c r="I1069" s="442">
        <v>0</v>
      </c>
      <c r="J1069" s="443"/>
    </row>
    <row r="1070" spans="1:10" ht="17.45" customHeight="1" x14ac:dyDescent="0.2">
      <c r="A1070" s="136"/>
      <c r="B1070" s="439" t="s">
        <v>16</v>
      </c>
      <c r="C1070" s="440"/>
      <c r="D1070" s="441"/>
      <c r="E1070" s="441"/>
      <c r="F1070" s="441"/>
      <c r="G1070" s="441"/>
      <c r="H1070" s="441"/>
      <c r="I1070" s="444">
        <v>459.84</v>
      </c>
      <c r="J1070" s="445"/>
    </row>
    <row r="1071" spans="1:10" ht="17.45" customHeight="1" x14ac:dyDescent="0.2">
      <c r="A1071" s="140"/>
      <c r="B1071" s="178"/>
      <c r="C1071" s="179"/>
      <c r="D1071" s="193" t="s">
        <v>17</v>
      </c>
      <c r="E1071" s="180"/>
      <c r="F1071" s="164">
        <v>0</v>
      </c>
      <c r="G1071" s="285"/>
      <c r="H1071" s="285"/>
      <c r="I1071" s="446">
        <v>0</v>
      </c>
      <c r="J1071" s="447"/>
    </row>
    <row r="1072" spans="1:10" ht="17.45" customHeight="1" x14ac:dyDescent="0.2">
      <c r="A1072" s="136"/>
      <c r="B1072" s="439" t="s">
        <v>18</v>
      </c>
      <c r="C1072" s="440"/>
      <c r="D1072" s="441"/>
      <c r="E1072" s="441"/>
      <c r="F1072" s="441"/>
      <c r="G1072" s="441"/>
      <c r="H1072" s="441"/>
      <c r="I1072" s="448">
        <v>459.84</v>
      </c>
      <c r="J1072" s="449"/>
    </row>
    <row r="1073" spans="1:13" ht="17.45" customHeight="1" x14ac:dyDescent="0.2">
      <c r="A1073" s="141"/>
      <c r="B1073" s="450" t="s">
        <v>1855</v>
      </c>
      <c r="C1073" s="451"/>
      <c r="D1073" s="451"/>
      <c r="E1073" s="451"/>
      <c r="F1073" s="451"/>
      <c r="G1073" s="451"/>
      <c r="H1073" s="451"/>
      <c r="I1073" s="451"/>
      <c r="J1073" s="452"/>
    </row>
    <row r="1074" spans="1:13" ht="17.45" customHeight="1" thickBot="1" x14ac:dyDescent="0.25">
      <c r="A1074" s="140"/>
      <c r="B1074" s="453"/>
      <c r="C1074" s="454"/>
      <c r="D1074" s="454"/>
      <c r="E1074" s="454"/>
      <c r="F1074" s="454"/>
      <c r="G1074" s="454"/>
      <c r="H1074" s="454"/>
      <c r="I1074" s="454"/>
      <c r="J1074" s="455"/>
    </row>
    <row r="1075" spans="1:13" ht="13.5" thickBot="1" x14ac:dyDescent="0.25"/>
    <row r="1076" spans="1:13" ht="17.45" customHeight="1" x14ac:dyDescent="0.2">
      <c r="A1076" s="136"/>
      <c r="B1076" s="476" t="s">
        <v>25</v>
      </c>
      <c r="C1076" s="477"/>
      <c r="D1076" s="477"/>
      <c r="E1076" s="477"/>
      <c r="F1076" s="477"/>
      <c r="G1076" s="477"/>
      <c r="H1076" s="477"/>
      <c r="I1076" s="477"/>
      <c r="J1076" s="478"/>
      <c r="K1076" s="190"/>
      <c r="L1076" s="137"/>
    </row>
    <row r="1077" spans="1:13" ht="17.45" customHeight="1" x14ac:dyDescent="0.2">
      <c r="A1077" s="141"/>
      <c r="B1077" s="144" t="s">
        <v>43</v>
      </c>
      <c r="C1077" s="297" t="s">
        <v>108</v>
      </c>
      <c r="D1077" s="193"/>
      <c r="E1077" s="296"/>
      <c r="F1077" s="143" t="s">
        <v>113</v>
      </c>
      <c r="G1077" s="479"/>
      <c r="H1077" s="479"/>
      <c r="I1077" s="145"/>
      <c r="J1077" s="249">
        <v>44682</v>
      </c>
      <c r="K1077" s="190"/>
      <c r="L1077" s="137"/>
    </row>
    <row r="1078" spans="1:13" ht="29.25" customHeight="1" x14ac:dyDescent="0.2">
      <c r="A1078" s="141"/>
      <c r="B1078" s="144" t="s">
        <v>4</v>
      </c>
      <c r="C1078" s="480" t="s">
        <v>1924</v>
      </c>
      <c r="D1078" s="480" t="e">
        <v>#N/A</v>
      </c>
      <c r="E1078" s="480" t="e">
        <v>#N/A</v>
      </c>
      <c r="F1078" s="480" t="e">
        <v>#N/A</v>
      </c>
      <c r="G1078" s="480" t="e">
        <v>#N/A</v>
      </c>
      <c r="H1078" s="480" t="e">
        <v>#N/A</v>
      </c>
      <c r="I1078" s="480" t="e">
        <v>#N/A</v>
      </c>
      <c r="J1078" s="481" t="e">
        <v>#N/A</v>
      </c>
      <c r="K1078" s="185" t="s">
        <v>114</v>
      </c>
      <c r="L1078" s="186" t="s">
        <v>89</v>
      </c>
      <c r="M1078" s="187" t="s">
        <v>115</v>
      </c>
    </row>
    <row r="1079" spans="1:13" ht="17.45" customHeight="1" x14ac:dyDescent="0.2">
      <c r="A1079" s="140" t="s">
        <v>1922</v>
      </c>
      <c r="B1079" s="146" t="s">
        <v>46</v>
      </c>
      <c r="C1079" s="295" t="s">
        <v>1922</v>
      </c>
      <c r="D1079" s="194" t="s">
        <v>45</v>
      </c>
      <c r="E1079" s="482" t="s">
        <v>1921</v>
      </c>
      <c r="F1079" s="482"/>
      <c r="G1079" s="482"/>
      <c r="H1079" s="483"/>
      <c r="I1079" s="181" t="s">
        <v>116</v>
      </c>
      <c r="J1079" s="183" t="s">
        <v>3</v>
      </c>
      <c r="K1079" s="184">
        <v>218.48000000000002</v>
      </c>
      <c r="L1079" s="188">
        <v>1855.45</v>
      </c>
      <c r="M1079" s="189">
        <v>0</v>
      </c>
    </row>
    <row r="1080" spans="1:13" ht="17.45" customHeight="1" x14ac:dyDescent="0.2">
      <c r="A1080" s="148"/>
      <c r="B1080" s="294"/>
      <c r="C1080" s="179" t="s">
        <v>1247</v>
      </c>
      <c r="D1080" s="484" t="s">
        <v>6</v>
      </c>
      <c r="E1080" s="485"/>
      <c r="F1080" s="485"/>
      <c r="G1080" s="486"/>
      <c r="H1080" s="485"/>
      <c r="I1080" s="485"/>
      <c r="J1080" s="487"/>
      <c r="K1080" s="182"/>
    </row>
    <row r="1081" spans="1:13" ht="15" customHeight="1" x14ac:dyDescent="0.2">
      <c r="A1081" s="140"/>
      <c r="B1081" s="150" t="s">
        <v>29</v>
      </c>
      <c r="C1081" s="151" t="s">
        <v>66</v>
      </c>
      <c r="D1081" s="195" t="s">
        <v>7</v>
      </c>
      <c r="E1081" s="152" t="s">
        <v>30</v>
      </c>
      <c r="F1081" s="152" t="s">
        <v>112</v>
      </c>
      <c r="G1081" s="488" t="s">
        <v>110</v>
      </c>
      <c r="H1081" s="489"/>
      <c r="I1081" s="488" t="s">
        <v>111</v>
      </c>
      <c r="J1081" s="490"/>
      <c r="K1081" s="182"/>
    </row>
    <row r="1082" spans="1:13" ht="25.5" customHeight="1" x14ac:dyDescent="0.2">
      <c r="A1082" s="140"/>
      <c r="B1082" s="301" t="s">
        <v>100</v>
      </c>
      <c r="C1082" s="154">
        <v>88248</v>
      </c>
      <c r="D1082" s="191" t="s">
        <v>51</v>
      </c>
      <c r="E1082" s="155" t="s">
        <v>48</v>
      </c>
      <c r="F1082" s="156">
        <v>3.0369999999999999</v>
      </c>
      <c r="G1082" s="428">
        <v>32.700000000000003</v>
      </c>
      <c r="H1082" s="429" t="e">
        <v>#N/A</v>
      </c>
      <c r="I1082" s="430">
        <v>99.31</v>
      </c>
      <c r="J1082" s="431"/>
    </row>
    <row r="1083" spans="1:13" ht="25.5" customHeight="1" x14ac:dyDescent="0.2">
      <c r="A1083" s="140"/>
      <c r="B1083" s="157" t="s">
        <v>100</v>
      </c>
      <c r="C1083" s="158">
        <v>88267</v>
      </c>
      <c r="D1083" s="196" t="s">
        <v>55</v>
      </c>
      <c r="E1083" s="302" t="s">
        <v>48</v>
      </c>
      <c r="F1083" s="303">
        <v>3.0369999999999999</v>
      </c>
      <c r="G1083" s="432">
        <v>39.24</v>
      </c>
      <c r="H1083" s="433" t="e">
        <v>#N/A</v>
      </c>
      <c r="I1083" s="434">
        <v>119.17</v>
      </c>
      <c r="J1083" s="435"/>
    </row>
    <row r="1084" spans="1:13" ht="17.45" customHeight="1" x14ac:dyDescent="0.2">
      <c r="A1084" s="140"/>
      <c r="B1084" s="161"/>
      <c r="C1084" s="162"/>
      <c r="D1084" s="197"/>
      <c r="E1084" s="163"/>
      <c r="F1084" s="163"/>
      <c r="G1084" s="456"/>
      <c r="H1084" s="457"/>
      <c r="I1084" s="464"/>
      <c r="J1084" s="465"/>
    </row>
    <row r="1085" spans="1:13" ht="17.45" customHeight="1" x14ac:dyDescent="0.2">
      <c r="A1085" s="136"/>
      <c r="B1085" s="466" t="s">
        <v>44</v>
      </c>
      <c r="C1085" s="467"/>
      <c r="D1085" s="468"/>
      <c r="E1085" s="468"/>
      <c r="F1085" s="468"/>
      <c r="G1085" s="468"/>
      <c r="H1085" s="468"/>
      <c r="I1085" s="469">
        <v>218.48000000000002</v>
      </c>
      <c r="J1085" s="470"/>
    </row>
    <row r="1086" spans="1:13" ht="17.45" customHeight="1" x14ac:dyDescent="0.2">
      <c r="A1086" s="136"/>
      <c r="B1086" s="466" t="s">
        <v>117</v>
      </c>
      <c r="C1086" s="467"/>
      <c r="D1086" s="468"/>
      <c r="E1086" s="468"/>
      <c r="F1086" s="164"/>
      <c r="G1086" s="300"/>
      <c r="H1086" s="298"/>
      <c r="I1086" s="471">
        <v>0</v>
      </c>
      <c r="J1086" s="472"/>
    </row>
    <row r="1087" spans="1:13" ht="17.45" customHeight="1" x14ac:dyDescent="0.2">
      <c r="A1087" s="136"/>
      <c r="B1087" s="439" t="s">
        <v>8</v>
      </c>
      <c r="C1087" s="440"/>
      <c r="D1087" s="441"/>
      <c r="E1087" s="441"/>
      <c r="F1087" s="441"/>
      <c r="G1087" s="441"/>
      <c r="H1087" s="441"/>
      <c r="I1087" s="473">
        <v>218.48000000000002</v>
      </c>
      <c r="J1087" s="474"/>
    </row>
    <row r="1088" spans="1:13" ht="17.45" customHeight="1" x14ac:dyDescent="0.2">
      <c r="A1088" s="148"/>
      <c r="B1088" s="299"/>
      <c r="C1088" s="142"/>
      <c r="D1088" s="475" t="s">
        <v>9</v>
      </c>
      <c r="E1088" s="475"/>
      <c r="F1088" s="460"/>
      <c r="G1088" s="460"/>
      <c r="H1088" s="460"/>
      <c r="I1088" s="460"/>
      <c r="J1088" s="461"/>
    </row>
    <row r="1089" spans="1:11" ht="30" customHeight="1" x14ac:dyDescent="0.2">
      <c r="A1089" s="140"/>
      <c r="B1089" s="170" t="s">
        <v>29</v>
      </c>
      <c r="C1089" s="151" t="s">
        <v>66</v>
      </c>
      <c r="D1089" s="198" t="s">
        <v>7</v>
      </c>
      <c r="E1089" s="171" t="s">
        <v>0</v>
      </c>
      <c r="F1089" s="171" t="s">
        <v>10</v>
      </c>
      <c r="G1089" s="462" t="s">
        <v>11</v>
      </c>
      <c r="H1089" s="462"/>
      <c r="I1089" s="462" t="s">
        <v>12</v>
      </c>
      <c r="J1089" s="463"/>
    </row>
    <row r="1090" spans="1:11" ht="51" x14ac:dyDescent="0.2">
      <c r="A1090" s="140"/>
      <c r="B1090" s="301" t="s">
        <v>31</v>
      </c>
      <c r="C1090" s="154">
        <v>4350</v>
      </c>
      <c r="D1090" s="191" t="s">
        <v>1930</v>
      </c>
      <c r="E1090" s="155" t="s">
        <v>101</v>
      </c>
      <c r="F1090" s="156">
        <v>4</v>
      </c>
      <c r="G1090" s="428">
        <v>0.74</v>
      </c>
      <c r="H1090" s="429" t="e">
        <v>#N/A</v>
      </c>
      <c r="I1090" s="430">
        <v>2.96</v>
      </c>
      <c r="J1090" s="431"/>
      <c r="K1090" s="291"/>
    </row>
    <row r="1091" spans="1:11" ht="38.25" x14ac:dyDescent="0.2">
      <c r="A1091" s="140"/>
      <c r="B1091" s="157" t="s">
        <v>31</v>
      </c>
      <c r="C1091" s="158">
        <v>10900</v>
      </c>
      <c r="D1091" s="196" t="s">
        <v>1929</v>
      </c>
      <c r="E1091" s="302" t="s">
        <v>101</v>
      </c>
      <c r="F1091" s="303">
        <v>1</v>
      </c>
      <c r="G1091" s="432">
        <v>74.739999999999995</v>
      </c>
      <c r="H1091" s="433" t="e">
        <v>#N/A</v>
      </c>
      <c r="I1091" s="434">
        <v>74.739999999999995</v>
      </c>
      <c r="J1091" s="435"/>
      <c r="K1091" s="291"/>
    </row>
    <row r="1092" spans="1:11" ht="51" x14ac:dyDescent="0.2">
      <c r="A1092" s="140"/>
      <c r="B1092" s="157" t="s">
        <v>31</v>
      </c>
      <c r="C1092" s="158">
        <v>10904</v>
      </c>
      <c r="D1092" s="196" t="s">
        <v>1928</v>
      </c>
      <c r="E1092" s="302" t="s">
        <v>101</v>
      </c>
      <c r="F1092" s="303">
        <v>1</v>
      </c>
      <c r="G1092" s="432">
        <v>218</v>
      </c>
      <c r="H1092" s="433" t="e">
        <v>#N/A</v>
      </c>
      <c r="I1092" s="434">
        <v>218</v>
      </c>
      <c r="J1092" s="435"/>
    </row>
    <row r="1093" spans="1:11" ht="76.5" x14ac:dyDescent="0.2">
      <c r="A1093" s="140"/>
      <c r="B1093" s="157" t="s">
        <v>31</v>
      </c>
      <c r="C1093" s="158">
        <v>20963</v>
      </c>
      <c r="D1093" s="196" t="s">
        <v>1927</v>
      </c>
      <c r="E1093" s="302" t="s">
        <v>101</v>
      </c>
      <c r="F1093" s="303">
        <v>1</v>
      </c>
      <c r="G1093" s="432">
        <v>462.98</v>
      </c>
      <c r="H1093" s="433" t="e">
        <v>#N/A</v>
      </c>
      <c r="I1093" s="434">
        <v>462.98</v>
      </c>
      <c r="J1093" s="435"/>
    </row>
    <row r="1094" spans="1:11" ht="38.25" x14ac:dyDescent="0.2">
      <c r="A1094" s="140"/>
      <c r="B1094" s="157" t="s">
        <v>31</v>
      </c>
      <c r="C1094" s="158">
        <v>20971</v>
      </c>
      <c r="D1094" s="196" t="s">
        <v>1926</v>
      </c>
      <c r="E1094" s="302" t="s">
        <v>101</v>
      </c>
      <c r="F1094" s="303">
        <v>1</v>
      </c>
      <c r="G1094" s="432">
        <v>20.76</v>
      </c>
      <c r="H1094" s="433" t="e">
        <v>#N/A</v>
      </c>
      <c r="I1094" s="434">
        <v>20.76</v>
      </c>
      <c r="J1094" s="435"/>
    </row>
    <row r="1095" spans="1:11" ht="51" x14ac:dyDescent="0.2">
      <c r="A1095" s="140"/>
      <c r="B1095" s="157" t="s">
        <v>31</v>
      </c>
      <c r="C1095" s="158">
        <v>21029</v>
      </c>
      <c r="D1095" s="196" t="s">
        <v>1925</v>
      </c>
      <c r="E1095" s="302" t="s">
        <v>101</v>
      </c>
      <c r="F1095" s="303">
        <v>2</v>
      </c>
      <c r="G1095" s="432">
        <v>410</v>
      </c>
      <c r="H1095" s="433" t="e">
        <v>#N/A</v>
      </c>
      <c r="I1095" s="434">
        <v>820</v>
      </c>
      <c r="J1095" s="435"/>
    </row>
    <row r="1096" spans="1:11" ht="25.5" x14ac:dyDescent="0.2">
      <c r="A1096" s="140"/>
      <c r="B1096" s="157" t="s">
        <v>31</v>
      </c>
      <c r="C1096" s="158">
        <v>37554</v>
      </c>
      <c r="D1096" s="196" t="s">
        <v>1931</v>
      </c>
      <c r="E1096" s="302" t="s">
        <v>101</v>
      </c>
      <c r="F1096" s="303">
        <v>1</v>
      </c>
      <c r="G1096" s="432">
        <v>256.01</v>
      </c>
      <c r="H1096" s="433" t="e">
        <v>#N/A</v>
      </c>
      <c r="I1096" s="434">
        <v>256.01</v>
      </c>
      <c r="J1096" s="435"/>
    </row>
    <row r="1097" spans="1:11" x14ac:dyDescent="0.2">
      <c r="A1097" s="140"/>
      <c r="B1097" s="157"/>
      <c r="C1097" s="158"/>
      <c r="D1097" s="196"/>
      <c r="E1097" s="302"/>
      <c r="F1097" s="303"/>
      <c r="G1097" s="432"/>
      <c r="H1097" s="433"/>
      <c r="I1097" s="434"/>
      <c r="J1097" s="435"/>
    </row>
    <row r="1098" spans="1:11" ht="17.45" customHeight="1" x14ac:dyDescent="0.2">
      <c r="A1098" s="140"/>
      <c r="B1098" s="175"/>
      <c r="C1098" s="248"/>
      <c r="D1098" s="199"/>
      <c r="E1098" s="163"/>
      <c r="F1098" s="163"/>
      <c r="G1098" s="456"/>
      <c r="H1098" s="457"/>
      <c r="I1098" s="458"/>
      <c r="J1098" s="459"/>
    </row>
    <row r="1099" spans="1:11" ht="17.45" customHeight="1" x14ac:dyDescent="0.2">
      <c r="A1099" s="136"/>
      <c r="B1099" s="439" t="s">
        <v>13</v>
      </c>
      <c r="C1099" s="440"/>
      <c r="D1099" s="441"/>
      <c r="E1099" s="441"/>
      <c r="F1099" s="441"/>
      <c r="G1099" s="441"/>
      <c r="H1099" s="441"/>
      <c r="I1099" s="446">
        <v>1855.45</v>
      </c>
      <c r="J1099" s="447"/>
    </row>
    <row r="1100" spans="1:11" ht="17.45" customHeight="1" x14ac:dyDescent="0.2">
      <c r="A1100" s="148"/>
      <c r="B1100" s="294"/>
      <c r="C1100" s="295"/>
      <c r="D1100" s="460" t="s">
        <v>14</v>
      </c>
      <c r="E1100" s="460"/>
      <c r="F1100" s="460"/>
      <c r="G1100" s="460"/>
      <c r="H1100" s="460"/>
      <c r="I1100" s="460"/>
      <c r="J1100" s="461"/>
    </row>
    <row r="1101" spans="1:11" ht="30" customHeight="1" x14ac:dyDescent="0.2">
      <c r="A1101" s="140"/>
      <c r="B1101" s="170" t="s">
        <v>29</v>
      </c>
      <c r="C1101" s="176"/>
      <c r="D1101" s="198" t="s">
        <v>7</v>
      </c>
      <c r="E1101" s="171" t="s">
        <v>0</v>
      </c>
      <c r="F1101" s="171" t="s">
        <v>10</v>
      </c>
      <c r="G1101" s="462" t="s">
        <v>11</v>
      </c>
      <c r="H1101" s="462"/>
      <c r="I1101" s="462" t="s">
        <v>12</v>
      </c>
      <c r="J1101" s="463"/>
    </row>
    <row r="1102" spans="1:11" x14ac:dyDescent="0.2">
      <c r="A1102" s="140"/>
      <c r="B1102" s="172"/>
      <c r="C1102" s="154"/>
      <c r="D1102" s="191"/>
      <c r="E1102" s="155"/>
      <c r="F1102" s="156"/>
      <c r="G1102" s="428"/>
      <c r="H1102" s="429"/>
      <c r="I1102" s="430"/>
      <c r="J1102" s="431"/>
    </row>
    <row r="1103" spans="1:11" x14ac:dyDescent="0.2">
      <c r="A1103" s="140"/>
      <c r="B1103" s="157"/>
      <c r="C1103" s="158"/>
      <c r="D1103" s="196"/>
      <c r="E1103" s="159"/>
      <c r="F1103" s="160"/>
      <c r="G1103" s="432"/>
      <c r="H1103" s="433"/>
      <c r="I1103" s="434"/>
      <c r="J1103" s="435"/>
    </row>
    <row r="1104" spans="1:11" ht="17.45" customHeight="1" x14ac:dyDescent="0.2">
      <c r="A1104" s="140"/>
      <c r="B1104" s="175"/>
      <c r="C1104" s="162"/>
      <c r="D1104" s="199"/>
      <c r="E1104" s="163"/>
      <c r="F1104" s="177"/>
      <c r="G1104" s="436"/>
      <c r="H1104" s="437"/>
      <c r="I1104" s="436"/>
      <c r="J1104" s="438"/>
    </row>
    <row r="1105" spans="1:13" ht="17.45" customHeight="1" x14ac:dyDescent="0.2">
      <c r="A1105" s="136"/>
      <c r="B1105" s="439" t="s">
        <v>15</v>
      </c>
      <c r="C1105" s="440"/>
      <c r="D1105" s="441"/>
      <c r="E1105" s="441"/>
      <c r="F1105" s="441"/>
      <c r="G1105" s="441"/>
      <c r="H1105" s="441"/>
      <c r="I1105" s="442">
        <v>0</v>
      </c>
      <c r="J1105" s="443"/>
    </row>
    <row r="1106" spans="1:13" ht="17.45" customHeight="1" x14ac:dyDescent="0.2">
      <c r="A1106" s="136"/>
      <c r="B1106" s="439" t="s">
        <v>16</v>
      </c>
      <c r="C1106" s="440"/>
      <c r="D1106" s="441"/>
      <c r="E1106" s="441"/>
      <c r="F1106" s="441"/>
      <c r="G1106" s="441"/>
      <c r="H1106" s="441"/>
      <c r="I1106" s="444">
        <v>2073.9300000000003</v>
      </c>
      <c r="J1106" s="445"/>
    </row>
    <row r="1107" spans="1:13" ht="17.45" customHeight="1" x14ac:dyDescent="0.2">
      <c r="A1107" s="140"/>
      <c r="B1107" s="178"/>
      <c r="C1107" s="179"/>
      <c r="D1107" s="193" t="s">
        <v>17</v>
      </c>
      <c r="E1107" s="180"/>
      <c r="F1107" s="164">
        <v>0</v>
      </c>
      <c r="G1107" s="296"/>
      <c r="H1107" s="296"/>
      <c r="I1107" s="446">
        <v>0</v>
      </c>
      <c r="J1107" s="447"/>
    </row>
    <row r="1108" spans="1:13" ht="17.45" customHeight="1" x14ac:dyDescent="0.2">
      <c r="A1108" s="136"/>
      <c r="B1108" s="439" t="s">
        <v>18</v>
      </c>
      <c r="C1108" s="440"/>
      <c r="D1108" s="441"/>
      <c r="E1108" s="441"/>
      <c r="F1108" s="441"/>
      <c r="G1108" s="441"/>
      <c r="H1108" s="441"/>
      <c r="I1108" s="448">
        <v>2073.9300000000003</v>
      </c>
      <c r="J1108" s="449"/>
    </row>
    <row r="1109" spans="1:13" ht="17.45" customHeight="1" x14ac:dyDescent="0.2">
      <c r="A1109" s="141"/>
      <c r="B1109" s="450" t="s">
        <v>1932</v>
      </c>
      <c r="C1109" s="451"/>
      <c r="D1109" s="451"/>
      <c r="E1109" s="451"/>
      <c r="F1109" s="451"/>
      <c r="G1109" s="451"/>
      <c r="H1109" s="451"/>
      <c r="I1109" s="451"/>
      <c r="J1109" s="452"/>
    </row>
    <row r="1110" spans="1:13" ht="17.45" customHeight="1" thickBot="1" x14ac:dyDescent="0.25">
      <c r="A1110" s="140"/>
      <c r="B1110" s="453"/>
      <c r="C1110" s="454"/>
      <c r="D1110" s="454"/>
      <c r="E1110" s="454"/>
      <c r="F1110" s="454"/>
      <c r="G1110" s="454"/>
      <c r="H1110" s="454"/>
      <c r="I1110" s="454"/>
      <c r="J1110" s="455"/>
    </row>
    <row r="1111" spans="1:13" ht="13.5" thickBot="1" x14ac:dyDescent="0.25"/>
    <row r="1112" spans="1:13" ht="17.45" customHeight="1" x14ac:dyDescent="0.2">
      <c r="A1112" s="136"/>
      <c r="B1112" s="476" t="s">
        <v>25</v>
      </c>
      <c r="C1112" s="477"/>
      <c r="D1112" s="477"/>
      <c r="E1112" s="477"/>
      <c r="F1112" s="477"/>
      <c r="G1112" s="477"/>
      <c r="H1112" s="477"/>
      <c r="I1112" s="477"/>
      <c r="J1112" s="478"/>
      <c r="K1112" s="190"/>
      <c r="L1112" s="137"/>
    </row>
    <row r="1113" spans="1:13" ht="17.45" customHeight="1" x14ac:dyDescent="0.2">
      <c r="A1113" s="141"/>
      <c r="B1113" s="144" t="s">
        <v>43</v>
      </c>
      <c r="C1113" s="375" t="s">
        <v>108</v>
      </c>
      <c r="D1113" s="193"/>
      <c r="E1113" s="374"/>
      <c r="F1113" s="143" t="s">
        <v>113</v>
      </c>
      <c r="G1113" s="479"/>
      <c r="H1113" s="479"/>
      <c r="I1113" s="145"/>
      <c r="J1113" s="249">
        <v>44682</v>
      </c>
      <c r="K1113" s="190"/>
      <c r="L1113" s="137"/>
    </row>
    <row r="1114" spans="1:13" ht="29.25" customHeight="1" x14ac:dyDescent="0.2">
      <c r="A1114" s="141"/>
      <c r="B1114" s="144" t="s">
        <v>4</v>
      </c>
      <c r="C1114" s="480" t="s">
        <v>457</v>
      </c>
      <c r="D1114" s="480" t="e">
        <v>#N/A</v>
      </c>
      <c r="E1114" s="480" t="e">
        <v>#N/A</v>
      </c>
      <c r="F1114" s="480" t="e">
        <v>#N/A</v>
      </c>
      <c r="G1114" s="480" t="e">
        <v>#N/A</v>
      </c>
      <c r="H1114" s="480" t="e">
        <v>#N/A</v>
      </c>
      <c r="I1114" s="480" t="e">
        <v>#N/A</v>
      </c>
      <c r="J1114" s="481" t="e">
        <v>#N/A</v>
      </c>
      <c r="K1114" s="185" t="s">
        <v>114</v>
      </c>
      <c r="L1114" s="186" t="s">
        <v>89</v>
      </c>
      <c r="M1114" s="187" t="s">
        <v>115</v>
      </c>
    </row>
    <row r="1115" spans="1:13" ht="17.45" customHeight="1" x14ac:dyDescent="0.2">
      <c r="A1115" s="140" t="s">
        <v>1297</v>
      </c>
      <c r="B1115" s="146" t="s">
        <v>46</v>
      </c>
      <c r="C1115" s="373" t="s">
        <v>1297</v>
      </c>
      <c r="D1115" s="194" t="s">
        <v>45</v>
      </c>
      <c r="E1115" s="482" t="s">
        <v>108</v>
      </c>
      <c r="F1115" s="482"/>
      <c r="G1115" s="482"/>
      <c r="H1115" s="483"/>
      <c r="I1115" s="181" t="s">
        <v>116</v>
      </c>
      <c r="J1115" s="183" t="s">
        <v>3</v>
      </c>
      <c r="K1115" s="184">
        <v>143.88</v>
      </c>
      <c r="L1115" s="188">
        <v>52719.95</v>
      </c>
      <c r="M1115" s="189">
        <v>0</v>
      </c>
    </row>
    <row r="1116" spans="1:13" ht="17.45" customHeight="1" x14ac:dyDescent="0.2">
      <c r="A1116" s="148"/>
      <c r="B1116" s="372"/>
      <c r="C1116" s="179" t="s">
        <v>1247</v>
      </c>
      <c r="D1116" s="484" t="s">
        <v>6</v>
      </c>
      <c r="E1116" s="485"/>
      <c r="F1116" s="485"/>
      <c r="G1116" s="486"/>
      <c r="H1116" s="485"/>
      <c r="I1116" s="485"/>
      <c r="J1116" s="487"/>
      <c r="K1116" s="182"/>
    </row>
    <row r="1117" spans="1:13" ht="15" customHeight="1" x14ac:dyDescent="0.2">
      <c r="A1117" s="140"/>
      <c r="B1117" s="150" t="s">
        <v>29</v>
      </c>
      <c r="C1117" s="151" t="s">
        <v>66</v>
      </c>
      <c r="D1117" s="195" t="s">
        <v>7</v>
      </c>
      <c r="E1117" s="152" t="s">
        <v>30</v>
      </c>
      <c r="F1117" s="152" t="s">
        <v>112</v>
      </c>
      <c r="G1117" s="488" t="s">
        <v>110</v>
      </c>
      <c r="H1117" s="489"/>
      <c r="I1117" s="488" t="s">
        <v>111</v>
      </c>
      <c r="J1117" s="490"/>
      <c r="K1117" s="182"/>
    </row>
    <row r="1118" spans="1:13" ht="25.5" customHeight="1" x14ac:dyDescent="0.2">
      <c r="A1118" s="140"/>
      <c r="B1118" s="301" t="s">
        <v>100</v>
      </c>
      <c r="C1118" s="154">
        <v>88248</v>
      </c>
      <c r="D1118" s="191" t="s">
        <v>51</v>
      </c>
      <c r="E1118" s="155" t="s">
        <v>48</v>
      </c>
      <c r="F1118" s="156">
        <v>2</v>
      </c>
      <c r="G1118" s="428">
        <v>32.700000000000003</v>
      </c>
      <c r="H1118" s="429" t="e">
        <v>#N/A</v>
      </c>
      <c r="I1118" s="430">
        <v>65.400000000000006</v>
      </c>
      <c r="J1118" s="431"/>
    </row>
    <row r="1119" spans="1:13" ht="25.5" customHeight="1" x14ac:dyDescent="0.2">
      <c r="A1119" s="140"/>
      <c r="B1119" s="157" t="s">
        <v>100</v>
      </c>
      <c r="C1119" s="158">
        <v>88267</v>
      </c>
      <c r="D1119" s="196" t="s">
        <v>55</v>
      </c>
      <c r="E1119" s="302" t="s">
        <v>48</v>
      </c>
      <c r="F1119" s="303">
        <v>2</v>
      </c>
      <c r="G1119" s="432">
        <v>39.24</v>
      </c>
      <c r="H1119" s="433" t="e">
        <v>#N/A</v>
      </c>
      <c r="I1119" s="434">
        <v>78.48</v>
      </c>
      <c r="J1119" s="435"/>
    </row>
    <row r="1120" spans="1:13" ht="17.45" customHeight="1" x14ac:dyDescent="0.2">
      <c r="A1120" s="140"/>
      <c r="B1120" s="161"/>
      <c r="C1120" s="162"/>
      <c r="D1120" s="197"/>
      <c r="E1120" s="163"/>
      <c r="F1120" s="163"/>
      <c r="G1120" s="456"/>
      <c r="H1120" s="457"/>
      <c r="I1120" s="464"/>
      <c r="J1120" s="465"/>
    </row>
    <row r="1121" spans="1:11" ht="17.45" customHeight="1" x14ac:dyDescent="0.2">
      <c r="A1121" s="136"/>
      <c r="B1121" s="466" t="s">
        <v>44</v>
      </c>
      <c r="C1121" s="467"/>
      <c r="D1121" s="468"/>
      <c r="E1121" s="468"/>
      <c r="F1121" s="468"/>
      <c r="G1121" s="468"/>
      <c r="H1121" s="468"/>
      <c r="I1121" s="469">
        <v>143.88</v>
      </c>
      <c r="J1121" s="470"/>
    </row>
    <row r="1122" spans="1:11" ht="17.45" customHeight="1" x14ac:dyDescent="0.2">
      <c r="A1122" s="136"/>
      <c r="B1122" s="466" t="s">
        <v>117</v>
      </c>
      <c r="C1122" s="467"/>
      <c r="D1122" s="468"/>
      <c r="E1122" s="468"/>
      <c r="F1122" s="164"/>
      <c r="G1122" s="300"/>
      <c r="H1122" s="376"/>
      <c r="I1122" s="471">
        <v>0</v>
      </c>
      <c r="J1122" s="472"/>
    </row>
    <row r="1123" spans="1:11" ht="17.45" customHeight="1" x14ac:dyDescent="0.2">
      <c r="A1123" s="136"/>
      <c r="B1123" s="439" t="s">
        <v>8</v>
      </c>
      <c r="C1123" s="440"/>
      <c r="D1123" s="441"/>
      <c r="E1123" s="441"/>
      <c r="F1123" s="441"/>
      <c r="G1123" s="441"/>
      <c r="H1123" s="441"/>
      <c r="I1123" s="473">
        <v>143.88</v>
      </c>
      <c r="J1123" s="474"/>
    </row>
    <row r="1124" spans="1:11" ht="17.45" customHeight="1" x14ac:dyDescent="0.2">
      <c r="A1124" s="148"/>
      <c r="B1124" s="299"/>
      <c r="C1124" s="142"/>
      <c r="D1124" s="475" t="s">
        <v>9</v>
      </c>
      <c r="E1124" s="475"/>
      <c r="F1124" s="460"/>
      <c r="G1124" s="460"/>
      <c r="H1124" s="460"/>
      <c r="I1124" s="460"/>
      <c r="J1124" s="461"/>
    </row>
    <row r="1125" spans="1:11" ht="30" customHeight="1" x14ac:dyDescent="0.2">
      <c r="A1125" s="140"/>
      <c r="B1125" s="170" t="s">
        <v>29</v>
      </c>
      <c r="C1125" s="151" t="s">
        <v>66</v>
      </c>
      <c r="D1125" s="198" t="s">
        <v>7</v>
      </c>
      <c r="E1125" s="171" t="s">
        <v>0</v>
      </c>
      <c r="F1125" s="171" t="s">
        <v>10</v>
      </c>
      <c r="G1125" s="462" t="s">
        <v>11</v>
      </c>
      <c r="H1125" s="462"/>
      <c r="I1125" s="462" t="s">
        <v>12</v>
      </c>
      <c r="J1125" s="463"/>
    </row>
    <row r="1126" spans="1:11" ht="30.75" customHeight="1" x14ac:dyDescent="0.2">
      <c r="A1126" s="140"/>
      <c r="B1126" s="301" t="s">
        <v>2339</v>
      </c>
      <c r="C1126" s="154" t="s">
        <v>1243</v>
      </c>
      <c r="D1126" s="191" t="s">
        <v>2234</v>
      </c>
      <c r="E1126" s="155" t="s">
        <v>3</v>
      </c>
      <c r="F1126" s="156">
        <v>1</v>
      </c>
      <c r="G1126" s="428">
        <v>52719.951999999997</v>
      </c>
      <c r="H1126" s="429" t="e">
        <v>#N/A</v>
      </c>
      <c r="I1126" s="430">
        <v>52719.95</v>
      </c>
      <c r="J1126" s="431"/>
      <c r="K1126" s="291"/>
    </row>
    <row r="1127" spans="1:11" x14ac:dyDescent="0.2">
      <c r="A1127" s="140"/>
      <c r="B1127" s="157"/>
      <c r="C1127" s="158"/>
      <c r="D1127" s="196"/>
      <c r="E1127" s="302"/>
      <c r="F1127" s="303"/>
      <c r="G1127" s="432"/>
      <c r="H1127" s="433"/>
      <c r="I1127" s="434"/>
      <c r="J1127" s="435"/>
      <c r="K1127" s="291"/>
    </row>
    <row r="1128" spans="1:11" x14ac:dyDescent="0.2">
      <c r="A1128" s="140"/>
      <c r="B1128" s="157"/>
      <c r="C1128" s="158"/>
      <c r="D1128" s="196"/>
      <c r="E1128" s="302"/>
      <c r="F1128" s="303"/>
      <c r="G1128" s="432"/>
      <c r="H1128" s="433"/>
      <c r="I1128" s="434"/>
      <c r="J1128" s="435"/>
    </row>
    <row r="1129" spans="1:11" x14ac:dyDescent="0.2">
      <c r="A1129" s="140"/>
      <c r="B1129" s="157"/>
      <c r="C1129" s="158"/>
      <c r="D1129" s="196"/>
      <c r="E1129" s="302"/>
      <c r="F1129" s="303"/>
      <c r="G1129" s="432"/>
      <c r="H1129" s="433"/>
      <c r="I1129" s="434"/>
      <c r="J1129" s="435"/>
    </row>
    <row r="1130" spans="1:11" x14ac:dyDescent="0.2">
      <c r="A1130" s="140"/>
      <c r="B1130" s="157"/>
      <c r="C1130" s="158"/>
      <c r="D1130" s="196"/>
      <c r="E1130" s="302"/>
      <c r="F1130" s="303"/>
      <c r="G1130" s="432"/>
      <c r="H1130" s="433"/>
      <c r="I1130" s="434"/>
      <c r="J1130" s="435"/>
    </row>
    <row r="1131" spans="1:11" x14ac:dyDescent="0.2">
      <c r="A1131" s="140"/>
      <c r="B1131" s="157"/>
      <c r="C1131" s="158"/>
      <c r="D1131" s="196"/>
      <c r="E1131" s="302"/>
      <c r="F1131" s="303"/>
      <c r="G1131" s="432"/>
      <c r="H1131" s="433"/>
      <c r="I1131" s="434"/>
      <c r="J1131" s="435"/>
    </row>
    <row r="1132" spans="1:11" x14ac:dyDescent="0.2">
      <c r="A1132" s="140"/>
      <c r="B1132" s="157"/>
      <c r="C1132" s="158"/>
      <c r="D1132" s="196"/>
      <c r="E1132" s="302"/>
      <c r="F1132" s="303"/>
      <c r="G1132" s="432"/>
      <c r="H1132" s="433"/>
      <c r="I1132" s="434"/>
      <c r="J1132" s="435"/>
    </row>
    <row r="1133" spans="1:11" x14ac:dyDescent="0.2">
      <c r="A1133" s="140"/>
      <c r="B1133" s="157"/>
      <c r="C1133" s="158"/>
      <c r="D1133" s="196"/>
      <c r="E1133" s="302"/>
      <c r="F1133" s="303"/>
      <c r="G1133" s="432"/>
      <c r="H1133" s="433"/>
      <c r="I1133" s="434"/>
      <c r="J1133" s="435"/>
    </row>
    <row r="1134" spans="1:11" ht="17.45" customHeight="1" x14ac:dyDescent="0.2">
      <c r="A1134" s="140"/>
      <c r="B1134" s="175"/>
      <c r="C1134" s="248"/>
      <c r="D1134" s="199"/>
      <c r="E1134" s="163"/>
      <c r="F1134" s="163"/>
      <c r="G1134" s="456"/>
      <c r="H1134" s="457"/>
      <c r="I1134" s="458"/>
      <c r="J1134" s="459"/>
    </row>
    <row r="1135" spans="1:11" ht="17.45" customHeight="1" x14ac:dyDescent="0.2">
      <c r="A1135" s="136"/>
      <c r="B1135" s="439" t="s">
        <v>13</v>
      </c>
      <c r="C1135" s="440"/>
      <c r="D1135" s="441"/>
      <c r="E1135" s="441"/>
      <c r="F1135" s="441"/>
      <c r="G1135" s="441"/>
      <c r="H1135" s="441"/>
      <c r="I1135" s="446">
        <v>52719.95</v>
      </c>
      <c r="J1135" s="447"/>
    </row>
    <row r="1136" spans="1:11" ht="17.45" customHeight="1" x14ac:dyDescent="0.2">
      <c r="A1136" s="148"/>
      <c r="B1136" s="372"/>
      <c r="C1136" s="373"/>
      <c r="D1136" s="460" t="s">
        <v>14</v>
      </c>
      <c r="E1136" s="460"/>
      <c r="F1136" s="460"/>
      <c r="G1136" s="460"/>
      <c r="H1136" s="460"/>
      <c r="I1136" s="460"/>
      <c r="J1136" s="461"/>
    </row>
    <row r="1137" spans="1:13" ht="30" customHeight="1" x14ac:dyDescent="0.2">
      <c r="A1137" s="140"/>
      <c r="B1137" s="170" t="s">
        <v>29</v>
      </c>
      <c r="C1137" s="176"/>
      <c r="D1137" s="198" t="s">
        <v>7</v>
      </c>
      <c r="E1137" s="171" t="s">
        <v>0</v>
      </c>
      <c r="F1137" s="171" t="s">
        <v>10</v>
      </c>
      <c r="G1137" s="462" t="s">
        <v>11</v>
      </c>
      <c r="H1137" s="462"/>
      <c r="I1137" s="462" t="s">
        <v>12</v>
      </c>
      <c r="J1137" s="463"/>
    </row>
    <row r="1138" spans="1:13" x14ac:dyDescent="0.2">
      <c r="A1138" s="140"/>
      <c r="B1138" s="172"/>
      <c r="C1138" s="154"/>
      <c r="D1138" s="191"/>
      <c r="E1138" s="155"/>
      <c r="F1138" s="156"/>
      <c r="G1138" s="428"/>
      <c r="H1138" s="429"/>
      <c r="I1138" s="430"/>
      <c r="J1138" s="431"/>
    </row>
    <row r="1139" spans="1:13" x14ac:dyDescent="0.2">
      <c r="A1139" s="140"/>
      <c r="B1139" s="157"/>
      <c r="C1139" s="158"/>
      <c r="D1139" s="196"/>
      <c r="E1139" s="159"/>
      <c r="F1139" s="160"/>
      <c r="G1139" s="432"/>
      <c r="H1139" s="433"/>
      <c r="I1139" s="434"/>
      <c r="J1139" s="435"/>
    </row>
    <row r="1140" spans="1:13" ht="17.45" customHeight="1" x14ac:dyDescent="0.2">
      <c r="A1140" s="140"/>
      <c r="B1140" s="175"/>
      <c r="C1140" s="162"/>
      <c r="D1140" s="199"/>
      <c r="E1140" s="163"/>
      <c r="F1140" s="177"/>
      <c r="G1140" s="436"/>
      <c r="H1140" s="437"/>
      <c r="I1140" s="436"/>
      <c r="J1140" s="438"/>
    </row>
    <row r="1141" spans="1:13" ht="17.45" customHeight="1" x14ac:dyDescent="0.2">
      <c r="A1141" s="136"/>
      <c r="B1141" s="439" t="s">
        <v>15</v>
      </c>
      <c r="C1141" s="440"/>
      <c r="D1141" s="441"/>
      <c r="E1141" s="441"/>
      <c r="F1141" s="441"/>
      <c r="G1141" s="441"/>
      <c r="H1141" s="441"/>
      <c r="I1141" s="442">
        <v>0</v>
      </c>
      <c r="J1141" s="443"/>
    </row>
    <row r="1142" spans="1:13" ht="17.45" customHeight="1" x14ac:dyDescent="0.2">
      <c r="A1142" s="136"/>
      <c r="B1142" s="439" t="s">
        <v>16</v>
      </c>
      <c r="C1142" s="440"/>
      <c r="D1142" s="441"/>
      <c r="E1142" s="441"/>
      <c r="F1142" s="441"/>
      <c r="G1142" s="441"/>
      <c r="H1142" s="441"/>
      <c r="I1142" s="444">
        <v>52863.829999999994</v>
      </c>
      <c r="J1142" s="445"/>
    </row>
    <row r="1143" spans="1:13" ht="17.45" customHeight="1" x14ac:dyDescent="0.2">
      <c r="A1143" s="140"/>
      <c r="B1143" s="178"/>
      <c r="C1143" s="179"/>
      <c r="D1143" s="193" t="s">
        <v>17</v>
      </c>
      <c r="E1143" s="180"/>
      <c r="F1143" s="164">
        <v>0</v>
      </c>
      <c r="G1143" s="374"/>
      <c r="H1143" s="374"/>
      <c r="I1143" s="446">
        <v>0</v>
      </c>
      <c r="J1143" s="447"/>
    </row>
    <row r="1144" spans="1:13" ht="17.45" customHeight="1" x14ac:dyDescent="0.2">
      <c r="A1144" s="136"/>
      <c r="B1144" s="439" t="s">
        <v>18</v>
      </c>
      <c r="C1144" s="440"/>
      <c r="D1144" s="441"/>
      <c r="E1144" s="441"/>
      <c r="F1144" s="441"/>
      <c r="G1144" s="441"/>
      <c r="H1144" s="441"/>
      <c r="I1144" s="448">
        <v>52863.829999999994</v>
      </c>
      <c r="J1144" s="449"/>
    </row>
    <row r="1145" spans="1:13" ht="17.45" customHeight="1" x14ac:dyDescent="0.2">
      <c r="A1145" s="141"/>
      <c r="B1145" s="450" t="s">
        <v>2236</v>
      </c>
      <c r="C1145" s="451"/>
      <c r="D1145" s="451"/>
      <c r="E1145" s="451"/>
      <c r="F1145" s="451"/>
      <c r="G1145" s="451"/>
      <c r="H1145" s="451"/>
      <c r="I1145" s="451"/>
      <c r="J1145" s="452"/>
    </row>
    <row r="1146" spans="1:13" ht="17.45" customHeight="1" thickBot="1" x14ac:dyDescent="0.25">
      <c r="A1146" s="140"/>
      <c r="B1146" s="453"/>
      <c r="C1146" s="454"/>
      <c r="D1146" s="454"/>
      <c r="E1146" s="454"/>
      <c r="F1146" s="454"/>
      <c r="G1146" s="454"/>
      <c r="H1146" s="454"/>
      <c r="I1146" s="454"/>
      <c r="J1146" s="455"/>
    </row>
    <row r="1147" spans="1:13" ht="13.5" thickBot="1" x14ac:dyDescent="0.25"/>
    <row r="1148" spans="1:13" ht="17.45" customHeight="1" x14ac:dyDescent="0.2">
      <c r="A1148" s="136"/>
      <c r="B1148" s="476" t="s">
        <v>25</v>
      </c>
      <c r="C1148" s="477"/>
      <c r="D1148" s="477"/>
      <c r="E1148" s="477"/>
      <c r="F1148" s="477"/>
      <c r="G1148" s="477"/>
      <c r="H1148" s="477"/>
      <c r="I1148" s="477"/>
      <c r="J1148" s="478"/>
      <c r="K1148" s="190"/>
      <c r="L1148" s="137"/>
    </row>
    <row r="1149" spans="1:13" ht="17.45" customHeight="1" x14ac:dyDescent="0.2">
      <c r="A1149" s="141"/>
      <c r="B1149" s="144" t="s">
        <v>43</v>
      </c>
      <c r="C1149" s="375" t="s">
        <v>108</v>
      </c>
      <c r="D1149" s="193"/>
      <c r="E1149" s="374"/>
      <c r="F1149" s="143" t="s">
        <v>113</v>
      </c>
      <c r="G1149" s="479"/>
      <c r="H1149" s="479"/>
      <c r="I1149" s="145"/>
      <c r="J1149" s="249">
        <v>44682</v>
      </c>
      <c r="K1149" s="190"/>
      <c r="L1149" s="137"/>
    </row>
    <row r="1150" spans="1:13" ht="29.25" customHeight="1" x14ac:dyDescent="0.2">
      <c r="A1150" s="141"/>
      <c r="B1150" s="144" t="s">
        <v>4</v>
      </c>
      <c r="C1150" s="480" t="s">
        <v>2235</v>
      </c>
      <c r="D1150" s="480" t="e">
        <v>#N/A</v>
      </c>
      <c r="E1150" s="480" t="e">
        <v>#N/A</v>
      </c>
      <c r="F1150" s="480" t="e">
        <v>#N/A</v>
      </c>
      <c r="G1150" s="480" t="e">
        <v>#N/A</v>
      </c>
      <c r="H1150" s="480" t="e">
        <v>#N/A</v>
      </c>
      <c r="I1150" s="480" t="e">
        <v>#N/A</v>
      </c>
      <c r="J1150" s="481" t="e">
        <v>#N/A</v>
      </c>
      <c r="K1150" s="185" t="s">
        <v>114</v>
      </c>
      <c r="L1150" s="186" t="s">
        <v>89</v>
      </c>
      <c r="M1150" s="187" t="s">
        <v>115</v>
      </c>
    </row>
    <row r="1151" spans="1:13" ht="17.45" customHeight="1" x14ac:dyDescent="0.2">
      <c r="A1151" s="140" t="s">
        <v>1298</v>
      </c>
      <c r="B1151" s="146" t="s">
        <v>46</v>
      </c>
      <c r="C1151" s="373" t="s">
        <v>1298</v>
      </c>
      <c r="D1151" s="194" t="s">
        <v>45</v>
      </c>
      <c r="E1151" s="482" t="s">
        <v>108</v>
      </c>
      <c r="F1151" s="482"/>
      <c r="G1151" s="482"/>
      <c r="H1151" s="483"/>
      <c r="I1151" s="181" t="s">
        <v>116</v>
      </c>
      <c r="J1151" s="183" t="s">
        <v>3</v>
      </c>
      <c r="K1151" s="184">
        <v>215.82</v>
      </c>
      <c r="L1151" s="188">
        <v>6295.11</v>
      </c>
      <c r="M1151" s="189">
        <v>0</v>
      </c>
    </row>
    <row r="1152" spans="1:13" ht="17.45" customHeight="1" x14ac:dyDescent="0.2">
      <c r="A1152" s="148"/>
      <c r="B1152" s="372"/>
      <c r="C1152" s="179" t="s">
        <v>1247</v>
      </c>
      <c r="D1152" s="484" t="s">
        <v>6</v>
      </c>
      <c r="E1152" s="485"/>
      <c r="F1152" s="485"/>
      <c r="G1152" s="486"/>
      <c r="H1152" s="485"/>
      <c r="I1152" s="485"/>
      <c r="J1152" s="487"/>
      <c r="K1152" s="182"/>
    </row>
    <row r="1153" spans="1:11" ht="15" customHeight="1" x14ac:dyDescent="0.2">
      <c r="A1153" s="140"/>
      <c r="B1153" s="150" t="s">
        <v>29</v>
      </c>
      <c r="C1153" s="151" t="s">
        <v>66</v>
      </c>
      <c r="D1153" s="195" t="s">
        <v>7</v>
      </c>
      <c r="E1153" s="152" t="s">
        <v>30</v>
      </c>
      <c r="F1153" s="152" t="s">
        <v>112</v>
      </c>
      <c r="G1153" s="488" t="s">
        <v>110</v>
      </c>
      <c r="H1153" s="489"/>
      <c r="I1153" s="488" t="s">
        <v>111</v>
      </c>
      <c r="J1153" s="490"/>
      <c r="K1153" s="182"/>
    </row>
    <row r="1154" spans="1:11" ht="25.5" customHeight="1" x14ac:dyDescent="0.2">
      <c r="A1154" s="140"/>
      <c r="B1154" s="301" t="s">
        <v>100</v>
      </c>
      <c r="C1154" s="154">
        <v>88248</v>
      </c>
      <c r="D1154" s="191" t="s">
        <v>51</v>
      </c>
      <c r="E1154" s="155" t="s">
        <v>48</v>
      </c>
      <c r="F1154" s="156">
        <v>3</v>
      </c>
      <c r="G1154" s="428">
        <v>32.700000000000003</v>
      </c>
      <c r="H1154" s="429" t="e">
        <v>#N/A</v>
      </c>
      <c r="I1154" s="430">
        <v>98.1</v>
      </c>
      <c r="J1154" s="431"/>
    </row>
    <row r="1155" spans="1:11" ht="25.5" customHeight="1" x14ac:dyDescent="0.2">
      <c r="A1155" s="140"/>
      <c r="B1155" s="157" t="s">
        <v>100</v>
      </c>
      <c r="C1155" s="158">
        <v>88267</v>
      </c>
      <c r="D1155" s="196" t="s">
        <v>55</v>
      </c>
      <c r="E1155" s="302" t="s">
        <v>48</v>
      </c>
      <c r="F1155" s="303">
        <v>3</v>
      </c>
      <c r="G1155" s="432">
        <v>39.24</v>
      </c>
      <c r="H1155" s="433" t="e">
        <v>#N/A</v>
      </c>
      <c r="I1155" s="434">
        <v>117.72</v>
      </c>
      <c r="J1155" s="435"/>
    </row>
    <row r="1156" spans="1:11" ht="17.45" customHeight="1" x14ac:dyDescent="0.2">
      <c r="A1156" s="140"/>
      <c r="B1156" s="161"/>
      <c r="C1156" s="162"/>
      <c r="D1156" s="197"/>
      <c r="E1156" s="163"/>
      <c r="F1156" s="163"/>
      <c r="G1156" s="456"/>
      <c r="H1156" s="457"/>
      <c r="I1156" s="464"/>
      <c r="J1156" s="465"/>
    </row>
    <row r="1157" spans="1:11" ht="17.45" customHeight="1" x14ac:dyDescent="0.2">
      <c r="A1157" s="136"/>
      <c r="B1157" s="466" t="s">
        <v>44</v>
      </c>
      <c r="C1157" s="467"/>
      <c r="D1157" s="468"/>
      <c r="E1157" s="468"/>
      <c r="F1157" s="468"/>
      <c r="G1157" s="468"/>
      <c r="H1157" s="468"/>
      <c r="I1157" s="469">
        <v>215.82</v>
      </c>
      <c r="J1157" s="470"/>
    </row>
    <row r="1158" spans="1:11" ht="17.45" customHeight="1" x14ac:dyDescent="0.2">
      <c r="A1158" s="136"/>
      <c r="B1158" s="466" t="s">
        <v>117</v>
      </c>
      <c r="C1158" s="467"/>
      <c r="D1158" s="468"/>
      <c r="E1158" s="468"/>
      <c r="F1158" s="164"/>
      <c r="G1158" s="300"/>
      <c r="H1158" s="376"/>
      <c r="I1158" s="471">
        <v>0</v>
      </c>
      <c r="J1158" s="472"/>
    </row>
    <row r="1159" spans="1:11" ht="17.45" customHeight="1" x14ac:dyDescent="0.2">
      <c r="A1159" s="136"/>
      <c r="B1159" s="439" t="s">
        <v>8</v>
      </c>
      <c r="C1159" s="440"/>
      <c r="D1159" s="441"/>
      <c r="E1159" s="441"/>
      <c r="F1159" s="441"/>
      <c r="G1159" s="441"/>
      <c r="H1159" s="441"/>
      <c r="I1159" s="473">
        <v>215.82</v>
      </c>
      <c r="J1159" s="474"/>
    </row>
    <row r="1160" spans="1:11" ht="17.45" customHeight="1" x14ac:dyDescent="0.2">
      <c r="A1160" s="148"/>
      <c r="B1160" s="299"/>
      <c r="C1160" s="142"/>
      <c r="D1160" s="475" t="s">
        <v>9</v>
      </c>
      <c r="E1160" s="475"/>
      <c r="F1160" s="460"/>
      <c r="G1160" s="460"/>
      <c r="H1160" s="460"/>
      <c r="I1160" s="460"/>
      <c r="J1160" s="461"/>
    </row>
    <row r="1161" spans="1:11" ht="30" customHeight="1" x14ac:dyDescent="0.2">
      <c r="A1161" s="140"/>
      <c r="B1161" s="170" t="s">
        <v>29</v>
      </c>
      <c r="C1161" s="151" t="s">
        <v>66</v>
      </c>
      <c r="D1161" s="198" t="s">
        <v>7</v>
      </c>
      <c r="E1161" s="171" t="s">
        <v>0</v>
      </c>
      <c r="F1161" s="171" t="s">
        <v>10</v>
      </c>
      <c r="G1161" s="462" t="s">
        <v>11</v>
      </c>
      <c r="H1161" s="462"/>
      <c r="I1161" s="462" t="s">
        <v>12</v>
      </c>
      <c r="J1161" s="463"/>
    </row>
    <row r="1162" spans="1:11" ht="30.75" customHeight="1" x14ac:dyDescent="0.2">
      <c r="A1162" s="140"/>
      <c r="B1162" s="301" t="s">
        <v>2339</v>
      </c>
      <c r="C1162" s="154" t="s">
        <v>1244</v>
      </c>
      <c r="D1162" s="191" t="s">
        <v>2235</v>
      </c>
      <c r="E1162" s="155" t="s">
        <v>3</v>
      </c>
      <c r="F1162" s="156">
        <v>1</v>
      </c>
      <c r="G1162" s="428">
        <v>6295.1109999999999</v>
      </c>
      <c r="H1162" s="429" t="e">
        <v>#N/A</v>
      </c>
      <c r="I1162" s="430">
        <v>6295.11</v>
      </c>
      <c r="J1162" s="431"/>
      <c r="K1162" s="291"/>
    </row>
    <row r="1163" spans="1:11" x14ac:dyDescent="0.2">
      <c r="A1163" s="140"/>
      <c r="B1163" s="157"/>
      <c r="C1163" s="158"/>
      <c r="D1163" s="196"/>
      <c r="E1163" s="302"/>
      <c r="F1163" s="303"/>
      <c r="G1163" s="432"/>
      <c r="H1163" s="433"/>
      <c r="I1163" s="434"/>
      <c r="J1163" s="435"/>
      <c r="K1163" s="291"/>
    </row>
    <row r="1164" spans="1:11" x14ac:dyDescent="0.2">
      <c r="A1164" s="140"/>
      <c r="B1164" s="157"/>
      <c r="C1164" s="158"/>
      <c r="D1164" s="196"/>
      <c r="E1164" s="302"/>
      <c r="F1164" s="303"/>
      <c r="G1164" s="432"/>
      <c r="H1164" s="433"/>
      <c r="I1164" s="434"/>
      <c r="J1164" s="435"/>
    </row>
    <row r="1165" spans="1:11" x14ac:dyDescent="0.2">
      <c r="A1165" s="140"/>
      <c r="B1165" s="157"/>
      <c r="C1165" s="158"/>
      <c r="D1165" s="196"/>
      <c r="E1165" s="302"/>
      <c r="F1165" s="303"/>
      <c r="G1165" s="432"/>
      <c r="H1165" s="433"/>
      <c r="I1165" s="434"/>
      <c r="J1165" s="435"/>
    </row>
    <row r="1166" spans="1:11" x14ac:dyDescent="0.2">
      <c r="A1166" s="140"/>
      <c r="B1166" s="157"/>
      <c r="C1166" s="158"/>
      <c r="D1166" s="196"/>
      <c r="E1166" s="302"/>
      <c r="F1166" s="303"/>
      <c r="G1166" s="432"/>
      <c r="H1166" s="433"/>
      <c r="I1166" s="434"/>
      <c r="J1166" s="435"/>
    </row>
    <row r="1167" spans="1:11" x14ac:dyDescent="0.2">
      <c r="A1167" s="140"/>
      <c r="B1167" s="157"/>
      <c r="C1167" s="158"/>
      <c r="D1167" s="196"/>
      <c r="E1167" s="302"/>
      <c r="F1167" s="303"/>
      <c r="G1167" s="432"/>
      <c r="H1167" s="433"/>
      <c r="I1167" s="434"/>
      <c r="J1167" s="435"/>
    </row>
    <row r="1168" spans="1:11" x14ac:dyDescent="0.2">
      <c r="A1168" s="140"/>
      <c r="B1168" s="157"/>
      <c r="C1168" s="158"/>
      <c r="D1168" s="196"/>
      <c r="E1168" s="302"/>
      <c r="F1168" s="303"/>
      <c r="G1168" s="432"/>
      <c r="H1168" s="433"/>
      <c r="I1168" s="434"/>
      <c r="J1168" s="435"/>
    </row>
    <row r="1169" spans="1:12" x14ac:dyDescent="0.2">
      <c r="A1169" s="140"/>
      <c r="B1169" s="157"/>
      <c r="C1169" s="158"/>
      <c r="D1169" s="196"/>
      <c r="E1169" s="302"/>
      <c r="F1169" s="303"/>
      <c r="G1169" s="432"/>
      <c r="H1169" s="433"/>
      <c r="I1169" s="434"/>
      <c r="J1169" s="435"/>
    </row>
    <row r="1170" spans="1:12" ht="17.45" customHeight="1" x14ac:dyDescent="0.2">
      <c r="A1170" s="140"/>
      <c r="B1170" s="175"/>
      <c r="C1170" s="248"/>
      <c r="D1170" s="199"/>
      <c r="E1170" s="163"/>
      <c r="F1170" s="163"/>
      <c r="G1170" s="456"/>
      <c r="H1170" s="457"/>
      <c r="I1170" s="458"/>
      <c r="J1170" s="459"/>
    </row>
    <row r="1171" spans="1:12" ht="17.45" customHeight="1" x14ac:dyDescent="0.2">
      <c r="A1171" s="136"/>
      <c r="B1171" s="439" t="s">
        <v>13</v>
      </c>
      <c r="C1171" s="440"/>
      <c r="D1171" s="441"/>
      <c r="E1171" s="441"/>
      <c r="F1171" s="441"/>
      <c r="G1171" s="441"/>
      <c r="H1171" s="441"/>
      <c r="I1171" s="446">
        <v>6295.11</v>
      </c>
      <c r="J1171" s="447"/>
    </row>
    <row r="1172" spans="1:12" ht="17.45" customHeight="1" x14ac:dyDescent="0.2">
      <c r="A1172" s="148"/>
      <c r="B1172" s="372"/>
      <c r="C1172" s="373"/>
      <c r="D1172" s="460" t="s">
        <v>14</v>
      </c>
      <c r="E1172" s="460"/>
      <c r="F1172" s="460"/>
      <c r="G1172" s="460"/>
      <c r="H1172" s="460"/>
      <c r="I1172" s="460"/>
      <c r="J1172" s="461"/>
    </row>
    <row r="1173" spans="1:12" ht="30" customHeight="1" x14ac:dyDescent="0.2">
      <c r="A1173" s="140"/>
      <c r="B1173" s="170" t="s">
        <v>29</v>
      </c>
      <c r="C1173" s="176"/>
      <c r="D1173" s="198" t="s">
        <v>7</v>
      </c>
      <c r="E1173" s="171" t="s">
        <v>0</v>
      </c>
      <c r="F1173" s="171" t="s">
        <v>10</v>
      </c>
      <c r="G1173" s="462" t="s">
        <v>11</v>
      </c>
      <c r="H1173" s="462"/>
      <c r="I1173" s="462" t="s">
        <v>12</v>
      </c>
      <c r="J1173" s="463"/>
    </row>
    <row r="1174" spans="1:12" x14ac:dyDescent="0.2">
      <c r="A1174" s="140"/>
      <c r="B1174" s="172"/>
      <c r="C1174" s="154"/>
      <c r="D1174" s="191"/>
      <c r="E1174" s="155"/>
      <c r="F1174" s="156"/>
      <c r="G1174" s="428"/>
      <c r="H1174" s="429"/>
      <c r="I1174" s="430"/>
      <c r="J1174" s="431"/>
    </row>
    <row r="1175" spans="1:12" x14ac:dyDescent="0.2">
      <c r="A1175" s="140"/>
      <c r="B1175" s="157"/>
      <c r="C1175" s="158"/>
      <c r="D1175" s="196"/>
      <c r="E1175" s="159"/>
      <c r="F1175" s="160"/>
      <c r="G1175" s="432"/>
      <c r="H1175" s="433"/>
      <c r="I1175" s="434"/>
      <c r="J1175" s="435"/>
    </row>
    <row r="1176" spans="1:12" ht="17.45" customHeight="1" x14ac:dyDescent="0.2">
      <c r="A1176" s="140"/>
      <c r="B1176" s="175"/>
      <c r="C1176" s="162"/>
      <c r="D1176" s="199"/>
      <c r="E1176" s="163"/>
      <c r="F1176" s="177"/>
      <c r="G1176" s="436"/>
      <c r="H1176" s="437"/>
      <c r="I1176" s="436"/>
      <c r="J1176" s="438"/>
    </row>
    <row r="1177" spans="1:12" ht="17.45" customHeight="1" x14ac:dyDescent="0.2">
      <c r="A1177" s="136"/>
      <c r="B1177" s="439" t="s">
        <v>15</v>
      </c>
      <c r="C1177" s="440"/>
      <c r="D1177" s="441"/>
      <c r="E1177" s="441"/>
      <c r="F1177" s="441"/>
      <c r="G1177" s="441"/>
      <c r="H1177" s="441"/>
      <c r="I1177" s="442">
        <v>0</v>
      </c>
      <c r="J1177" s="443"/>
    </row>
    <row r="1178" spans="1:12" ht="17.45" customHeight="1" x14ac:dyDescent="0.2">
      <c r="A1178" s="136"/>
      <c r="B1178" s="439" t="s">
        <v>16</v>
      </c>
      <c r="C1178" s="440"/>
      <c r="D1178" s="441"/>
      <c r="E1178" s="441"/>
      <c r="F1178" s="441"/>
      <c r="G1178" s="441"/>
      <c r="H1178" s="441"/>
      <c r="I1178" s="444">
        <v>6510.9299999999994</v>
      </c>
      <c r="J1178" s="445"/>
    </row>
    <row r="1179" spans="1:12" ht="17.45" customHeight="1" x14ac:dyDescent="0.2">
      <c r="A1179" s="140"/>
      <c r="B1179" s="178"/>
      <c r="C1179" s="179"/>
      <c r="D1179" s="193" t="s">
        <v>17</v>
      </c>
      <c r="E1179" s="180"/>
      <c r="F1179" s="164">
        <v>0</v>
      </c>
      <c r="G1179" s="374"/>
      <c r="H1179" s="374"/>
      <c r="I1179" s="446">
        <v>0</v>
      </c>
      <c r="J1179" s="447"/>
    </row>
    <row r="1180" spans="1:12" ht="17.45" customHeight="1" x14ac:dyDescent="0.2">
      <c r="A1180" s="136"/>
      <c r="B1180" s="439" t="s">
        <v>18</v>
      </c>
      <c r="C1180" s="440"/>
      <c r="D1180" s="441"/>
      <c r="E1180" s="441"/>
      <c r="F1180" s="441"/>
      <c r="G1180" s="441"/>
      <c r="H1180" s="441"/>
      <c r="I1180" s="448">
        <v>6510.9299999999994</v>
      </c>
      <c r="J1180" s="449"/>
    </row>
    <row r="1181" spans="1:12" ht="17.45" customHeight="1" x14ac:dyDescent="0.2">
      <c r="A1181" s="141"/>
      <c r="B1181" s="450" t="s">
        <v>2236</v>
      </c>
      <c r="C1181" s="451"/>
      <c r="D1181" s="451"/>
      <c r="E1181" s="451"/>
      <c r="F1181" s="451"/>
      <c r="G1181" s="451"/>
      <c r="H1181" s="451"/>
      <c r="I1181" s="451"/>
      <c r="J1181" s="452"/>
    </row>
    <row r="1182" spans="1:12" ht="17.45" customHeight="1" thickBot="1" x14ac:dyDescent="0.25">
      <c r="A1182" s="140"/>
      <c r="B1182" s="453"/>
      <c r="C1182" s="454"/>
      <c r="D1182" s="454"/>
      <c r="E1182" s="454"/>
      <c r="F1182" s="454"/>
      <c r="G1182" s="454"/>
      <c r="H1182" s="454"/>
      <c r="I1182" s="454"/>
      <c r="J1182" s="455"/>
    </row>
    <row r="1183" spans="1:12" ht="13.5" thickBot="1" x14ac:dyDescent="0.25"/>
    <row r="1184" spans="1:12" ht="17.45" customHeight="1" x14ac:dyDescent="0.2">
      <c r="A1184" s="136"/>
      <c r="B1184" s="476" t="s">
        <v>25</v>
      </c>
      <c r="C1184" s="477"/>
      <c r="D1184" s="477"/>
      <c r="E1184" s="477"/>
      <c r="F1184" s="477"/>
      <c r="G1184" s="477"/>
      <c r="H1184" s="477"/>
      <c r="I1184" s="477"/>
      <c r="J1184" s="478"/>
      <c r="K1184" s="190"/>
      <c r="L1184" s="137"/>
    </row>
    <row r="1185" spans="1:13" ht="17.45" customHeight="1" x14ac:dyDescent="0.2">
      <c r="A1185" s="141"/>
      <c r="B1185" s="144" t="s">
        <v>43</v>
      </c>
      <c r="C1185" s="375" t="s">
        <v>108</v>
      </c>
      <c r="D1185" s="193"/>
      <c r="E1185" s="374"/>
      <c r="F1185" s="143" t="s">
        <v>113</v>
      </c>
      <c r="G1185" s="479"/>
      <c r="H1185" s="479"/>
      <c r="I1185" s="145"/>
      <c r="J1185" s="249">
        <v>44682</v>
      </c>
      <c r="K1185" s="190"/>
      <c r="L1185" s="137"/>
    </row>
    <row r="1186" spans="1:13" ht="29.25" customHeight="1" x14ac:dyDescent="0.2">
      <c r="A1186" s="141"/>
      <c r="B1186" s="144" t="s">
        <v>4</v>
      </c>
      <c r="C1186" s="480" t="s">
        <v>2237</v>
      </c>
      <c r="D1186" s="480" t="e">
        <v>#N/A</v>
      </c>
      <c r="E1186" s="480" t="e">
        <v>#N/A</v>
      </c>
      <c r="F1186" s="480" t="e">
        <v>#N/A</v>
      </c>
      <c r="G1186" s="480" t="e">
        <v>#N/A</v>
      </c>
      <c r="H1186" s="480" t="e">
        <v>#N/A</v>
      </c>
      <c r="I1186" s="480" t="e">
        <v>#N/A</v>
      </c>
      <c r="J1186" s="481" t="e">
        <v>#N/A</v>
      </c>
      <c r="K1186" s="185" t="s">
        <v>114</v>
      </c>
      <c r="L1186" s="186" t="s">
        <v>89</v>
      </c>
      <c r="M1186" s="187" t="s">
        <v>115</v>
      </c>
    </row>
    <row r="1187" spans="1:13" ht="17.45" customHeight="1" x14ac:dyDescent="0.2">
      <c r="A1187" s="140" t="s">
        <v>1299</v>
      </c>
      <c r="B1187" s="146" t="s">
        <v>46</v>
      </c>
      <c r="C1187" s="373" t="s">
        <v>1299</v>
      </c>
      <c r="D1187" s="194" t="s">
        <v>45</v>
      </c>
      <c r="E1187" s="482" t="s">
        <v>2239</v>
      </c>
      <c r="F1187" s="482"/>
      <c r="G1187" s="482"/>
      <c r="H1187" s="483"/>
      <c r="I1187" s="181" t="s">
        <v>116</v>
      </c>
      <c r="J1187" s="183" t="s">
        <v>3</v>
      </c>
      <c r="K1187" s="184">
        <v>317.01</v>
      </c>
      <c r="L1187" s="188">
        <v>8713.31</v>
      </c>
      <c r="M1187" s="189">
        <v>0</v>
      </c>
    </row>
    <row r="1188" spans="1:13" ht="17.45" customHeight="1" x14ac:dyDescent="0.2">
      <c r="A1188" s="148"/>
      <c r="B1188" s="372"/>
      <c r="C1188" s="179" t="s">
        <v>1247</v>
      </c>
      <c r="D1188" s="484" t="s">
        <v>6</v>
      </c>
      <c r="E1188" s="485"/>
      <c r="F1188" s="485"/>
      <c r="G1188" s="486"/>
      <c r="H1188" s="485"/>
      <c r="I1188" s="485"/>
      <c r="J1188" s="487"/>
      <c r="K1188" s="182"/>
    </row>
    <row r="1189" spans="1:13" ht="15" customHeight="1" x14ac:dyDescent="0.2">
      <c r="A1189" s="140"/>
      <c r="B1189" s="150" t="s">
        <v>29</v>
      </c>
      <c r="C1189" s="151" t="s">
        <v>66</v>
      </c>
      <c r="D1189" s="195" t="s">
        <v>7</v>
      </c>
      <c r="E1189" s="152" t="s">
        <v>30</v>
      </c>
      <c r="F1189" s="152" t="s">
        <v>112</v>
      </c>
      <c r="G1189" s="488" t="s">
        <v>110</v>
      </c>
      <c r="H1189" s="489"/>
      <c r="I1189" s="488" t="s">
        <v>111</v>
      </c>
      <c r="J1189" s="490"/>
      <c r="K1189" s="182"/>
    </row>
    <row r="1190" spans="1:13" ht="25.5" customHeight="1" x14ac:dyDescent="0.2">
      <c r="A1190" s="140"/>
      <c r="B1190" s="301" t="s">
        <v>100</v>
      </c>
      <c r="C1190" s="154">
        <v>88248</v>
      </c>
      <c r="D1190" s="191" t="s">
        <v>51</v>
      </c>
      <c r="E1190" s="155" t="s">
        <v>48</v>
      </c>
      <c r="F1190" s="156">
        <v>5.1020000000000003</v>
      </c>
      <c r="G1190" s="428">
        <v>32.700000000000003</v>
      </c>
      <c r="H1190" s="429" t="e">
        <v>#N/A</v>
      </c>
      <c r="I1190" s="430">
        <v>166.84</v>
      </c>
      <c r="J1190" s="431"/>
    </row>
    <row r="1191" spans="1:13" ht="25.5" customHeight="1" x14ac:dyDescent="0.2">
      <c r="A1191" s="140"/>
      <c r="B1191" s="157" t="s">
        <v>100</v>
      </c>
      <c r="C1191" s="158">
        <v>88267</v>
      </c>
      <c r="D1191" s="196" t="s">
        <v>55</v>
      </c>
      <c r="E1191" s="302" t="s">
        <v>48</v>
      </c>
      <c r="F1191" s="303">
        <v>3.827</v>
      </c>
      <c r="G1191" s="432">
        <v>39.24</v>
      </c>
      <c r="H1191" s="433" t="e">
        <v>#N/A</v>
      </c>
      <c r="I1191" s="434">
        <v>150.16999999999999</v>
      </c>
      <c r="J1191" s="435"/>
    </row>
    <row r="1192" spans="1:13" ht="17.45" customHeight="1" x14ac:dyDescent="0.2">
      <c r="A1192" s="140"/>
      <c r="B1192" s="161"/>
      <c r="C1192" s="162"/>
      <c r="D1192" s="197"/>
      <c r="E1192" s="163"/>
      <c r="F1192" s="163"/>
      <c r="G1192" s="456"/>
      <c r="H1192" s="457"/>
      <c r="I1192" s="464"/>
      <c r="J1192" s="465"/>
    </row>
    <row r="1193" spans="1:13" ht="17.45" customHeight="1" x14ac:dyDescent="0.2">
      <c r="A1193" s="136"/>
      <c r="B1193" s="466" t="s">
        <v>44</v>
      </c>
      <c r="C1193" s="467"/>
      <c r="D1193" s="468"/>
      <c r="E1193" s="468"/>
      <c r="F1193" s="468"/>
      <c r="G1193" s="468"/>
      <c r="H1193" s="468"/>
      <c r="I1193" s="469">
        <v>317.01</v>
      </c>
      <c r="J1193" s="470"/>
    </row>
    <row r="1194" spans="1:13" ht="17.45" customHeight="1" x14ac:dyDescent="0.2">
      <c r="A1194" s="136"/>
      <c r="B1194" s="466" t="s">
        <v>117</v>
      </c>
      <c r="C1194" s="467"/>
      <c r="D1194" s="468"/>
      <c r="E1194" s="468"/>
      <c r="F1194" s="164"/>
      <c r="G1194" s="300"/>
      <c r="H1194" s="376"/>
      <c r="I1194" s="471">
        <v>0</v>
      </c>
      <c r="J1194" s="472"/>
    </row>
    <row r="1195" spans="1:13" ht="17.45" customHeight="1" x14ac:dyDescent="0.2">
      <c r="A1195" s="136"/>
      <c r="B1195" s="439" t="s">
        <v>8</v>
      </c>
      <c r="C1195" s="440"/>
      <c r="D1195" s="441"/>
      <c r="E1195" s="441"/>
      <c r="F1195" s="441"/>
      <c r="G1195" s="441"/>
      <c r="H1195" s="441"/>
      <c r="I1195" s="473">
        <v>317.01</v>
      </c>
      <c r="J1195" s="474"/>
    </row>
    <row r="1196" spans="1:13" ht="17.45" customHeight="1" x14ac:dyDescent="0.2">
      <c r="A1196" s="148"/>
      <c r="B1196" s="299"/>
      <c r="C1196" s="142"/>
      <c r="D1196" s="475" t="s">
        <v>9</v>
      </c>
      <c r="E1196" s="475"/>
      <c r="F1196" s="460"/>
      <c r="G1196" s="460"/>
      <c r="H1196" s="460"/>
      <c r="I1196" s="460"/>
      <c r="J1196" s="461"/>
    </row>
    <row r="1197" spans="1:13" ht="30" customHeight="1" x14ac:dyDescent="0.2">
      <c r="A1197" s="140"/>
      <c r="B1197" s="170" t="s">
        <v>29</v>
      </c>
      <c r="C1197" s="151" t="s">
        <v>66</v>
      </c>
      <c r="D1197" s="198" t="s">
        <v>7</v>
      </c>
      <c r="E1197" s="171" t="s">
        <v>0</v>
      </c>
      <c r="F1197" s="171" t="s">
        <v>10</v>
      </c>
      <c r="G1197" s="462" t="s">
        <v>11</v>
      </c>
      <c r="H1197" s="462"/>
      <c r="I1197" s="462" t="s">
        <v>12</v>
      </c>
      <c r="J1197" s="463"/>
    </row>
    <row r="1198" spans="1:13" ht="30.75" customHeight="1" x14ac:dyDescent="0.2">
      <c r="A1198" s="140"/>
      <c r="B1198" s="301" t="s">
        <v>2339</v>
      </c>
      <c r="C1198" s="154" t="s">
        <v>1245</v>
      </c>
      <c r="D1198" s="191" t="s">
        <v>2237</v>
      </c>
      <c r="E1198" s="155" t="s">
        <v>3</v>
      </c>
      <c r="F1198" s="156">
        <v>1</v>
      </c>
      <c r="G1198" s="428">
        <v>8713.3054520000005</v>
      </c>
      <c r="H1198" s="429" t="e">
        <v>#N/A</v>
      </c>
      <c r="I1198" s="430">
        <v>8713.31</v>
      </c>
      <c r="J1198" s="431"/>
      <c r="K1198" s="291"/>
    </row>
    <row r="1199" spans="1:13" x14ac:dyDescent="0.2">
      <c r="A1199" s="140"/>
      <c r="B1199" s="157"/>
      <c r="C1199" s="158"/>
      <c r="D1199" s="196"/>
      <c r="E1199" s="302"/>
      <c r="F1199" s="303"/>
      <c r="G1199" s="432"/>
      <c r="H1199" s="433"/>
      <c r="I1199" s="434"/>
      <c r="J1199" s="435"/>
      <c r="K1199" s="291"/>
    </row>
    <row r="1200" spans="1:13" x14ac:dyDescent="0.2">
      <c r="A1200" s="140"/>
      <c r="B1200" s="157"/>
      <c r="C1200" s="158"/>
      <c r="D1200" s="196"/>
      <c r="E1200" s="302"/>
      <c r="F1200" s="303"/>
      <c r="G1200" s="432"/>
      <c r="H1200" s="433"/>
      <c r="I1200" s="434"/>
      <c r="J1200" s="435"/>
    </row>
    <row r="1201" spans="1:10" x14ac:dyDescent="0.2">
      <c r="A1201" s="140"/>
      <c r="B1201" s="157"/>
      <c r="C1201" s="158"/>
      <c r="D1201" s="196"/>
      <c r="E1201" s="302"/>
      <c r="F1201" s="303"/>
      <c r="G1201" s="432"/>
      <c r="H1201" s="433"/>
      <c r="I1201" s="434"/>
      <c r="J1201" s="435"/>
    </row>
    <row r="1202" spans="1:10" x14ac:dyDescent="0.2">
      <c r="A1202" s="140"/>
      <c r="B1202" s="157"/>
      <c r="C1202" s="158"/>
      <c r="D1202" s="196"/>
      <c r="E1202" s="302"/>
      <c r="F1202" s="303"/>
      <c r="G1202" s="432"/>
      <c r="H1202" s="433"/>
      <c r="I1202" s="434"/>
      <c r="J1202" s="435"/>
    </row>
    <row r="1203" spans="1:10" x14ac:dyDescent="0.2">
      <c r="A1203" s="140"/>
      <c r="B1203" s="157"/>
      <c r="C1203" s="158"/>
      <c r="D1203" s="196"/>
      <c r="E1203" s="302"/>
      <c r="F1203" s="303"/>
      <c r="G1203" s="432"/>
      <c r="H1203" s="433"/>
      <c r="I1203" s="434"/>
      <c r="J1203" s="435"/>
    </row>
    <row r="1204" spans="1:10" x14ac:dyDescent="0.2">
      <c r="A1204" s="140"/>
      <c r="B1204" s="157"/>
      <c r="C1204" s="158"/>
      <c r="D1204" s="196"/>
      <c r="E1204" s="302"/>
      <c r="F1204" s="303"/>
      <c r="G1204" s="432"/>
      <c r="H1204" s="433"/>
      <c r="I1204" s="434"/>
      <c r="J1204" s="435"/>
    </row>
    <row r="1205" spans="1:10" x14ac:dyDescent="0.2">
      <c r="A1205" s="140"/>
      <c r="B1205" s="157"/>
      <c r="C1205" s="158"/>
      <c r="D1205" s="196"/>
      <c r="E1205" s="302"/>
      <c r="F1205" s="303"/>
      <c r="G1205" s="432"/>
      <c r="H1205" s="433"/>
      <c r="I1205" s="434"/>
      <c r="J1205" s="435"/>
    </row>
    <row r="1206" spans="1:10" ht="17.45" customHeight="1" x14ac:dyDescent="0.2">
      <c r="A1206" s="140"/>
      <c r="B1206" s="175"/>
      <c r="C1206" s="248"/>
      <c r="D1206" s="199"/>
      <c r="E1206" s="163"/>
      <c r="F1206" s="163"/>
      <c r="G1206" s="456"/>
      <c r="H1206" s="457"/>
      <c r="I1206" s="458"/>
      <c r="J1206" s="459"/>
    </row>
    <row r="1207" spans="1:10" ht="17.45" customHeight="1" x14ac:dyDescent="0.2">
      <c r="A1207" s="136"/>
      <c r="B1207" s="439" t="s">
        <v>13</v>
      </c>
      <c r="C1207" s="440"/>
      <c r="D1207" s="441"/>
      <c r="E1207" s="441"/>
      <c r="F1207" s="441"/>
      <c r="G1207" s="441"/>
      <c r="H1207" s="441"/>
      <c r="I1207" s="446">
        <v>8713.31</v>
      </c>
      <c r="J1207" s="447"/>
    </row>
    <row r="1208" spans="1:10" ht="17.45" customHeight="1" x14ac:dyDescent="0.2">
      <c r="A1208" s="148"/>
      <c r="B1208" s="372"/>
      <c r="C1208" s="373"/>
      <c r="D1208" s="460" t="s">
        <v>14</v>
      </c>
      <c r="E1208" s="460"/>
      <c r="F1208" s="460"/>
      <c r="G1208" s="460"/>
      <c r="H1208" s="460"/>
      <c r="I1208" s="460"/>
      <c r="J1208" s="461"/>
    </row>
    <row r="1209" spans="1:10" ht="30" customHeight="1" x14ac:dyDescent="0.2">
      <c r="A1209" s="140"/>
      <c r="B1209" s="170" t="s">
        <v>29</v>
      </c>
      <c r="C1209" s="176"/>
      <c r="D1209" s="198" t="s">
        <v>7</v>
      </c>
      <c r="E1209" s="171" t="s">
        <v>0</v>
      </c>
      <c r="F1209" s="171" t="s">
        <v>10</v>
      </c>
      <c r="G1209" s="462" t="s">
        <v>11</v>
      </c>
      <c r="H1209" s="462"/>
      <c r="I1209" s="462" t="s">
        <v>12</v>
      </c>
      <c r="J1209" s="463"/>
    </row>
    <row r="1210" spans="1:10" x14ac:dyDescent="0.2">
      <c r="A1210" s="140"/>
      <c r="B1210" s="172"/>
      <c r="C1210" s="154"/>
      <c r="D1210" s="191"/>
      <c r="E1210" s="155"/>
      <c r="F1210" s="156"/>
      <c r="G1210" s="428"/>
      <c r="H1210" s="429"/>
      <c r="I1210" s="430"/>
      <c r="J1210" s="431"/>
    </row>
    <row r="1211" spans="1:10" x14ac:dyDescent="0.2">
      <c r="A1211" s="140"/>
      <c r="B1211" s="157"/>
      <c r="C1211" s="158"/>
      <c r="D1211" s="196"/>
      <c r="E1211" s="159"/>
      <c r="F1211" s="160"/>
      <c r="G1211" s="432"/>
      <c r="H1211" s="433"/>
      <c r="I1211" s="434"/>
      <c r="J1211" s="435"/>
    </row>
    <row r="1212" spans="1:10" ht="17.45" customHeight="1" x14ac:dyDescent="0.2">
      <c r="A1212" s="140"/>
      <c r="B1212" s="175"/>
      <c r="C1212" s="162"/>
      <c r="D1212" s="199"/>
      <c r="E1212" s="163"/>
      <c r="F1212" s="177"/>
      <c r="G1212" s="436"/>
      <c r="H1212" s="437"/>
      <c r="I1212" s="436"/>
      <c r="J1212" s="438"/>
    </row>
    <row r="1213" spans="1:10" ht="17.45" customHeight="1" x14ac:dyDescent="0.2">
      <c r="A1213" s="136"/>
      <c r="B1213" s="439" t="s">
        <v>15</v>
      </c>
      <c r="C1213" s="440"/>
      <c r="D1213" s="441"/>
      <c r="E1213" s="441"/>
      <c r="F1213" s="441"/>
      <c r="G1213" s="441"/>
      <c r="H1213" s="441"/>
      <c r="I1213" s="442">
        <v>0</v>
      </c>
      <c r="J1213" s="443"/>
    </row>
    <row r="1214" spans="1:10" ht="17.45" customHeight="1" x14ac:dyDescent="0.2">
      <c r="A1214" s="136"/>
      <c r="B1214" s="439" t="s">
        <v>16</v>
      </c>
      <c r="C1214" s="440"/>
      <c r="D1214" s="441"/>
      <c r="E1214" s="441"/>
      <c r="F1214" s="441"/>
      <c r="G1214" s="441"/>
      <c r="H1214" s="441"/>
      <c r="I1214" s="444">
        <v>9030.32</v>
      </c>
      <c r="J1214" s="445"/>
    </row>
    <row r="1215" spans="1:10" ht="17.45" customHeight="1" x14ac:dyDescent="0.2">
      <c r="A1215" s="140"/>
      <c r="B1215" s="178"/>
      <c r="C1215" s="179"/>
      <c r="D1215" s="193" t="s">
        <v>17</v>
      </c>
      <c r="E1215" s="180"/>
      <c r="F1215" s="164">
        <v>0</v>
      </c>
      <c r="G1215" s="374"/>
      <c r="H1215" s="374"/>
      <c r="I1215" s="446">
        <v>0</v>
      </c>
      <c r="J1215" s="447"/>
    </row>
    <row r="1216" spans="1:10" ht="17.45" customHeight="1" x14ac:dyDescent="0.2">
      <c r="A1216" s="136"/>
      <c r="B1216" s="439" t="s">
        <v>18</v>
      </c>
      <c r="C1216" s="440"/>
      <c r="D1216" s="441"/>
      <c r="E1216" s="441"/>
      <c r="F1216" s="441"/>
      <c r="G1216" s="441"/>
      <c r="H1216" s="441"/>
      <c r="I1216" s="448">
        <v>9030.32</v>
      </c>
      <c r="J1216" s="449"/>
    </row>
    <row r="1217" spans="1:13" ht="17.45" customHeight="1" x14ac:dyDescent="0.2">
      <c r="A1217" s="141"/>
      <c r="B1217" s="450" t="s">
        <v>2240</v>
      </c>
      <c r="C1217" s="451"/>
      <c r="D1217" s="451"/>
      <c r="E1217" s="451"/>
      <c r="F1217" s="451"/>
      <c r="G1217" s="451"/>
      <c r="H1217" s="451"/>
      <c r="I1217" s="451"/>
      <c r="J1217" s="452"/>
    </row>
    <row r="1218" spans="1:13" ht="17.45" customHeight="1" thickBot="1" x14ac:dyDescent="0.25">
      <c r="A1218" s="140"/>
      <c r="B1218" s="453"/>
      <c r="C1218" s="454"/>
      <c r="D1218" s="454"/>
      <c r="E1218" s="454"/>
      <c r="F1218" s="454"/>
      <c r="G1218" s="454"/>
      <c r="H1218" s="454"/>
      <c r="I1218" s="454"/>
      <c r="J1218" s="455"/>
    </row>
    <row r="1219" spans="1:13" ht="13.5" thickBot="1" x14ac:dyDescent="0.25"/>
    <row r="1220" spans="1:13" ht="17.45" customHeight="1" x14ac:dyDescent="0.2">
      <c r="A1220" s="136"/>
      <c r="B1220" s="476" t="s">
        <v>25</v>
      </c>
      <c r="C1220" s="477"/>
      <c r="D1220" s="477"/>
      <c r="E1220" s="477"/>
      <c r="F1220" s="477"/>
      <c r="G1220" s="477"/>
      <c r="H1220" s="477"/>
      <c r="I1220" s="477"/>
      <c r="J1220" s="478"/>
      <c r="K1220" s="190"/>
      <c r="L1220" s="137"/>
    </row>
    <row r="1221" spans="1:13" ht="17.45" customHeight="1" x14ac:dyDescent="0.2">
      <c r="A1221" s="141"/>
      <c r="B1221" s="144" t="s">
        <v>43</v>
      </c>
      <c r="C1221" s="375" t="s">
        <v>108</v>
      </c>
      <c r="D1221" s="193"/>
      <c r="E1221" s="374"/>
      <c r="F1221" s="143" t="s">
        <v>113</v>
      </c>
      <c r="G1221" s="479"/>
      <c r="H1221" s="479"/>
      <c r="I1221" s="145"/>
      <c r="J1221" s="249">
        <v>44682</v>
      </c>
      <c r="K1221" s="190"/>
      <c r="L1221" s="137"/>
    </row>
    <row r="1222" spans="1:13" ht="29.25" customHeight="1" x14ac:dyDescent="0.2">
      <c r="A1222" s="141"/>
      <c r="B1222" s="144" t="s">
        <v>4</v>
      </c>
      <c r="C1222" s="480" t="s">
        <v>2238</v>
      </c>
      <c r="D1222" s="480" t="e">
        <v>#N/A</v>
      </c>
      <c r="E1222" s="480" t="e">
        <v>#N/A</v>
      </c>
      <c r="F1222" s="480" t="e">
        <v>#N/A</v>
      </c>
      <c r="G1222" s="480" t="e">
        <v>#N/A</v>
      </c>
      <c r="H1222" s="480" t="e">
        <v>#N/A</v>
      </c>
      <c r="I1222" s="480" t="e">
        <v>#N/A</v>
      </c>
      <c r="J1222" s="481" t="e">
        <v>#N/A</v>
      </c>
      <c r="K1222" s="185" t="s">
        <v>114</v>
      </c>
      <c r="L1222" s="186" t="s">
        <v>89</v>
      </c>
      <c r="M1222" s="187" t="s">
        <v>115</v>
      </c>
    </row>
    <row r="1223" spans="1:13" ht="17.45" customHeight="1" x14ac:dyDescent="0.2">
      <c r="A1223" s="140" t="s">
        <v>1300</v>
      </c>
      <c r="B1223" s="146" t="s">
        <v>46</v>
      </c>
      <c r="C1223" s="373" t="s">
        <v>1300</v>
      </c>
      <c r="D1223" s="194" t="s">
        <v>45</v>
      </c>
      <c r="E1223" s="482" t="s">
        <v>2239</v>
      </c>
      <c r="F1223" s="482"/>
      <c r="G1223" s="482"/>
      <c r="H1223" s="483"/>
      <c r="I1223" s="181" t="s">
        <v>116</v>
      </c>
      <c r="J1223" s="183" t="s">
        <v>3</v>
      </c>
      <c r="K1223" s="184">
        <v>317.01</v>
      </c>
      <c r="L1223" s="188">
        <v>8053.09</v>
      </c>
      <c r="M1223" s="189">
        <v>0</v>
      </c>
    </row>
    <row r="1224" spans="1:13" ht="17.45" customHeight="1" x14ac:dyDescent="0.2">
      <c r="A1224" s="148"/>
      <c r="B1224" s="372"/>
      <c r="C1224" s="179" t="s">
        <v>1247</v>
      </c>
      <c r="D1224" s="484" t="s">
        <v>6</v>
      </c>
      <c r="E1224" s="485"/>
      <c r="F1224" s="485"/>
      <c r="G1224" s="486"/>
      <c r="H1224" s="485"/>
      <c r="I1224" s="485"/>
      <c r="J1224" s="487"/>
      <c r="K1224" s="182"/>
    </row>
    <row r="1225" spans="1:13" ht="15" customHeight="1" x14ac:dyDescent="0.2">
      <c r="A1225" s="140"/>
      <c r="B1225" s="150" t="s">
        <v>29</v>
      </c>
      <c r="C1225" s="151" t="s">
        <v>66</v>
      </c>
      <c r="D1225" s="195" t="s">
        <v>7</v>
      </c>
      <c r="E1225" s="152" t="s">
        <v>30</v>
      </c>
      <c r="F1225" s="152" t="s">
        <v>112</v>
      </c>
      <c r="G1225" s="488" t="s">
        <v>110</v>
      </c>
      <c r="H1225" s="489"/>
      <c r="I1225" s="488" t="s">
        <v>111</v>
      </c>
      <c r="J1225" s="490"/>
      <c r="K1225" s="182"/>
    </row>
    <row r="1226" spans="1:13" ht="25.5" customHeight="1" x14ac:dyDescent="0.2">
      <c r="A1226" s="140"/>
      <c r="B1226" s="301" t="s">
        <v>100</v>
      </c>
      <c r="C1226" s="154">
        <v>88248</v>
      </c>
      <c r="D1226" s="191" t="s">
        <v>51</v>
      </c>
      <c r="E1226" s="155" t="s">
        <v>48</v>
      </c>
      <c r="F1226" s="156">
        <v>5.1020000000000003</v>
      </c>
      <c r="G1226" s="428">
        <v>32.700000000000003</v>
      </c>
      <c r="H1226" s="429" t="e">
        <v>#N/A</v>
      </c>
      <c r="I1226" s="430">
        <v>166.84</v>
      </c>
      <c r="J1226" s="431"/>
    </row>
    <row r="1227" spans="1:13" ht="25.5" customHeight="1" x14ac:dyDescent="0.2">
      <c r="A1227" s="140"/>
      <c r="B1227" s="157" t="s">
        <v>100</v>
      </c>
      <c r="C1227" s="158">
        <v>88267</v>
      </c>
      <c r="D1227" s="196" t="s">
        <v>55</v>
      </c>
      <c r="E1227" s="302" t="s">
        <v>48</v>
      </c>
      <c r="F1227" s="303">
        <v>3.827</v>
      </c>
      <c r="G1227" s="432">
        <v>39.24</v>
      </c>
      <c r="H1227" s="433" t="e">
        <v>#N/A</v>
      </c>
      <c r="I1227" s="434">
        <v>150.16999999999999</v>
      </c>
      <c r="J1227" s="435"/>
    </row>
    <row r="1228" spans="1:13" ht="17.45" customHeight="1" x14ac:dyDescent="0.2">
      <c r="A1228" s="140"/>
      <c r="B1228" s="161"/>
      <c r="C1228" s="162"/>
      <c r="D1228" s="197"/>
      <c r="E1228" s="163"/>
      <c r="F1228" s="163"/>
      <c r="G1228" s="456"/>
      <c r="H1228" s="457"/>
      <c r="I1228" s="464"/>
      <c r="J1228" s="465"/>
    </row>
    <row r="1229" spans="1:13" ht="17.45" customHeight="1" x14ac:dyDescent="0.2">
      <c r="A1229" s="136"/>
      <c r="B1229" s="466" t="s">
        <v>44</v>
      </c>
      <c r="C1229" s="467"/>
      <c r="D1229" s="468"/>
      <c r="E1229" s="468"/>
      <c r="F1229" s="468"/>
      <c r="G1229" s="468"/>
      <c r="H1229" s="468"/>
      <c r="I1229" s="469">
        <v>317.01</v>
      </c>
      <c r="J1229" s="470"/>
    </row>
    <row r="1230" spans="1:13" ht="17.45" customHeight="1" x14ac:dyDescent="0.2">
      <c r="A1230" s="136"/>
      <c r="B1230" s="466" t="s">
        <v>117</v>
      </c>
      <c r="C1230" s="467"/>
      <c r="D1230" s="468"/>
      <c r="E1230" s="468"/>
      <c r="F1230" s="164"/>
      <c r="G1230" s="300"/>
      <c r="H1230" s="376"/>
      <c r="I1230" s="471">
        <v>0</v>
      </c>
      <c r="J1230" s="472"/>
    </row>
    <row r="1231" spans="1:13" ht="17.45" customHeight="1" x14ac:dyDescent="0.2">
      <c r="A1231" s="136"/>
      <c r="B1231" s="439" t="s">
        <v>8</v>
      </c>
      <c r="C1231" s="440"/>
      <c r="D1231" s="441"/>
      <c r="E1231" s="441"/>
      <c r="F1231" s="441"/>
      <c r="G1231" s="441"/>
      <c r="H1231" s="441"/>
      <c r="I1231" s="473">
        <v>317.01</v>
      </c>
      <c r="J1231" s="474"/>
    </row>
    <row r="1232" spans="1:13" ht="17.45" customHeight="1" x14ac:dyDescent="0.2">
      <c r="A1232" s="148"/>
      <c r="B1232" s="299"/>
      <c r="C1232" s="142"/>
      <c r="D1232" s="475" t="s">
        <v>9</v>
      </c>
      <c r="E1232" s="475"/>
      <c r="F1232" s="460"/>
      <c r="G1232" s="460"/>
      <c r="H1232" s="460"/>
      <c r="I1232" s="460"/>
      <c r="J1232" s="461"/>
    </row>
    <row r="1233" spans="1:11" ht="30" customHeight="1" x14ac:dyDescent="0.2">
      <c r="A1233" s="140"/>
      <c r="B1233" s="170" t="s">
        <v>29</v>
      </c>
      <c r="C1233" s="151" t="s">
        <v>66</v>
      </c>
      <c r="D1233" s="198" t="s">
        <v>7</v>
      </c>
      <c r="E1233" s="171" t="s">
        <v>0</v>
      </c>
      <c r="F1233" s="171" t="s">
        <v>10</v>
      </c>
      <c r="G1233" s="462" t="s">
        <v>11</v>
      </c>
      <c r="H1233" s="462"/>
      <c r="I1233" s="462" t="s">
        <v>12</v>
      </c>
      <c r="J1233" s="463"/>
    </row>
    <row r="1234" spans="1:11" ht="30.75" customHeight="1" x14ac:dyDescent="0.2">
      <c r="A1234" s="140"/>
      <c r="B1234" s="301" t="s">
        <v>2339</v>
      </c>
      <c r="C1234" s="154" t="s">
        <v>1246</v>
      </c>
      <c r="D1234" s="191" t="s">
        <v>2238</v>
      </c>
      <c r="E1234" s="155" t="s">
        <v>3</v>
      </c>
      <c r="F1234" s="156">
        <v>1</v>
      </c>
      <c r="G1234" s="428">
        <v>8053.0880569999999</v>
      </c>
      <c r="H1234" s="429" t="e">
        <v>#N/A</v>
      </c>
      <c r="I1234" s="430">
        <v>8053.09</v>
      </c>
      <c r="J1234" s="431"/>
      <c r="K1234" s="291"/>
    </row>
    <row r="1235" spans="1:11" x14ac:dyDescent="0.2">
      <c r="A1235" s="140"/>
      <c r="B1235" s="157"/>
      <c r="C1235" s="158"/>
      <c r="D1235" s="196"/>
      <c r="E1235" s="302"/>
      <c r="F1235" s="303"/>
      <c r="G1235" s="432"/>
      <c r="H1235" s="433"/>
      <c r="I1235" s="434"/>
      <c r="J1235" s="435"/>
      <c r="K1235" s="291"/>
    </row>
    <row r="1236" spans="1:11" x14ac:dyDescent="0.2">
      <c r="A1236" s="140"/>
      <c r="B1236" s="157"/>
      <c r="C1236" s="158"/>
      <c r="D1236" s="196"/>
      <c r="E1236" s="302"/>
      <c r="F1236" s="303"/>
      <c r="G1236" s="432"/>
      <c r="H1236" s="433"/>
      <c r="I1236" s="434"/>
      <c r="J1236" s="435"/>
    </row>
    <row r="1237" spans="1:11" x14ac:dyDescent="0.2">
      <c r="A1237" s="140"/>
      <c r="B1237" s="157"/>
      <c r="C1237" s="158"/>
      <c r="D1237" s="196"/>
      <c r="E1237" s="302"/>
      <c r="F1237" s="303"/>
      <c r="G1237" s="432"/>
      <c r="H1237" s="433"/>
      <c r="I1237" s="434"/>
      <c r="J1237" s="435"/>
    </row>
    <row r="1238" spans="1:11" x14ac:dyDescent="0.2">
      <c r="A1238" s="140"/>
      <c r="B1238" s="157"/>
      <c r="C1238" s="158"/>
      <c r="D1238" s="196"/>
      <c r="E1238" s="302"/>
      <c r="F1238" s="303"/>
      <c r="G1238" s="432"/>
      <c r="H1238" s="433"/>
      <c r="I1238" s="434"/>
      <c r="J1238" s="435"/>
    </row>
    <row r="1239" spans="1:11" x14ac:dyDescent="0.2">
      <c r="A1239" s="140"/>
      <c r="B1239" s="157"/>
      <c r="C1239" s="158"/>
      <c r="D1239" s="196"/>
      <c r="E1239" s="302"/>
      <c r="F1239" s="303"/>
      <c r="G1239" s="432"/>
      <c r="H1239" s="433"/>
      <c r="I1239" s="434"/>
      <c r="J1239" s="435"/>
    </row>
    <row r="1240" spans="1:11" x14ac:dyDescent="0.2">
      <c r="A1240" s="140"/>
      <c r="B1240" s="157"/>
      <c r="C1240" s="158"/>
      <c r="D1240" s="196"/>
      <c r="E1240" s="302"/>
      <c r="F1240" s="303"/>
      <c r="G1240" s="432"/>
      <c r="H1240" s="433"/>
      <c r="I1240" s="434"/>
      <c r="J1240" s="435"/>
    </row>
    <row r="1241" spans="1:11" x14ac:dyDescent="0.2">
      <c r="A1241" s="140"/>
      <c r="B1241" s="157"/>
      <c r="C1241" s="158"/>
      <c r="D1241" s="196"/>
      <c r="E1241" s="302"/>
      <c r="F1241" s="303"/>
      <c r="G1241" s="432"/>
      <c r="H1241" s="433"/>
      <c r="I1241" s="434"/>
      <c r="J1241" s="435"/>
    </row>
    <row r="1242" spans="1:11" ht="17.45" customHeight="1" x14ac:dyDescent="0.2">
      <c r="A1242" s="140"/>
      <c r="B1242" s="175"/>
      <c r="C1242" s="248"/>
      <c r="D1242" s="199"/>
      <c r="E1242" s="163"/>
      <c r="F1242" s="163"/>
      <c r="G1242" s="456"/>
      <c r="H1242" s="457"/>
      <c r="I1242" s="458"/>
      <c r="J1242" s="459"/>
    </row>
    <row r="1243" spans="1:11" ht="17.45" customHeight="1" x14ac:dyDescent="0.2">
      <c r="A1243" s="136"/>
      <c r="B1243" s="439" t="s">
        <v>13</v>
      </c>
      <c r="C1243" s="440"/>
      <c r="D1243" s="441"/>
      <c r="E1243" s="441"/>
      <c r="F1243" s="441"/>
      <c r="G1243" s="441"/>
      <c r="H1243" s="441"/>
      <c r="I1243" s="446">
        <v>8053.09</v>
      </c>
      <c r="J1243" s="447"/>
    </row>
    <row r="1244" spans="1:11" ht="17.45" customHeight="1" x14ac:dyDescent="0.2">
      <c r="A1244" s="148"/>
      <c r="B1244" s="372"/>
      <c r="C1244" s="373"/>
      <c r="D1244" s="460" t="s">
        <v>14</v>
      </c>
      <c r="E1244" s="460"/>
      <c r="F1244" s="460"/>
      <c r="G1244" s="460"/>
      <c r="H1244" s="460"/>
      <c r="I1244" s="460"/>
      <c r="J1244" s="461"/>
    </row>
    <row r="1245" spans="1:11" ht="30" customHeight="1" x14ac:dyDescent="0.2">
      <c r="A1245" s="140"/>
      <c r="B1245" s="170" t="s">
        <v>29</v>
      </c>
      <c r="C1245" s="176"/>
      <c r="D1245" s="198" t="s">
        <v>7</v>
      </c>
      <c r="E1245" s="171" t="s">
        <v>0</v>
      </c>
      <c r="F1245" s="171" t="s">
        <v>10</v>
      </c>
      <c r="G1245" s="462" t="s">
        <v>11</v>
      </c>
      <c r="H1245" s="462"/>
      <c r="I1245" s="462" t="s">
        <v>12</v>
      </c>
      <c r="J1245" s="463"/>
    </row>
    <row r="1246" spans="1:11" x14ac:dyDescent="0.2">
      <c r="A1246" s="140"/>
      <c r="B1246" s="172"/>
      <c r="C1246" s="154"/>
      <c r="D1246" s="191"/>
      <c r="E1246" s="155"/>
      <c r="F1246" s="156"/>
      <c r="G1246" s="428"/>
      <c r="H1246" s="429"/>
      <c r="I1246" s="430"/>
      <c r="J1246" s="431"/>
    </row>
    <row r="1247" spans="1:11" x14ac:dyDescent="0.2">
      <c r="A1247" s="140"/>
      <c r="B1247" s="157"/>
      <c r="C1247" s="158"/>
      <c r="D1247" s="196"/>
      <c r="E1247" s="159"/>
      <c r="F1247" s="160"/>
      <c r="G1247" s="432"/>
      <c r="H1247" s="433"/>
      <c r="I1247" s="434"/>
      <c r="J1247" s="435"/>
    </row>
    <row r="1248" spans="1:11" ht="17.45" customHeight="1" x14ac:dyDescent="0.2">
      <c r="A1248" s="140"/>
      <c r="B1248" s="175"/>
      <c r="C1248" s="162"/>
      <c r="D1248" s="199"/>
      <c r="E1248" s="163"/>
      <c r="F1248" s="177"/>
      <c r="G1248" s="436"/>
      <c r="H1248" s="437"/>
      <c r="I1248" s="436"/>
      <c r="J1248" s="438"/>
    </row>
    <row r="1249" spans="1:10" ht="17.45" customHeight="1" x14ac:dyDescent="0.2">
      <c r="A1249" s="136"/>
      <c r="B1249" s="439" t="s">
        <v>15</v>
      </c>
      <c r="C1249" s="440"/>
      <c r="D1249" s="441"/>
      <c r="E1249" s="441"/>
      <c r="F1249" s="441"/>
      <c r="G1249" s="441"/>
      <c r="H1249" s="441"/>
      <c r="I1249" s="442">
        <v>0</v>
      </c>
      <c r="J1249" s="443"/>
    </row>
    <row r="1250" spans="1:10" ht="17.45" customHeight="1" x14ac:dyDescent="0.2">
      <c r="A1250" s="136"/>
      <c r="B1250" s="439" t="s">
        <v>16</v>
      </c>
      <c r="C1250" s="440"/>
      <c r="D1250" s="441"/>
      <c r="E1250" s="441"/>
      <c r="F1250" s="441"/>
      <c r="G1250" s="441"/>
      <c r="H1250" s="441"/>
      <c r="I1250" s="444">
        <v>8370.1</v>
      </c>
      <c r="J1250" s="445"/>
    </row>
    <row r="1251" spans="1:10" ht="17.45" customHeight="1" x14ac:dyDescent="0.2">
      <c r="A1251" s="140"/>
      <c r="B1251" s="178"/>
      <c r="C1251" s="179"/>
      <c r="D1251" s="193" t="s">
        <v>17</v>
      </c>
      <c r="E1251" s="180"/>
      <c r="F1251" s="164">
        <v>0</v>
      </c>
      <c r="G1251" s="374"/>
      <c r="H1251" s="374"/>
      <c r="I1251" s="446">
        <v>0</v>
      </c>
      <c r="J1251" s="447"/>
    </row>
    <row r="1252" spans="1:10" ht="17.45" customHeight="1" x14ac:dyDescent="0.2">
      <c r="A1252" s="136"/>
      <c r="B1252" s="439" t="s">
        <v>18</v>
      </c>
      <c r="C1252" s="440"/>
      <c r="D1252" s="441"/>
      <c r="E1252" s="441"/>
      <c r="F1252" s="441"/>
      <c r="G1252" s="441"/>
      <c r="H1252" s="441"/>
      <c r="I1252" s="448">
        <v>8370.1</v>
      </c>
      <c r="J1252" s="449"/>
    </row>
    <row r="1253" spans="1:10" ht="17.45" customHeight="1" x14ac:dyDescent="0.2">
      <c r="A1253" s="141"/>
      <c r="B1253" s="450" t="s">
        <v>2240</v>
      </c>
      <c r="C1253" s="451"/>
      <c r="D1253" s="451"/>
      <c r="E1253" s="451"/>
      <c r="F1253" s="451"/>
      <c r="G1253" s="451"/>
      <c r="H1253" s="451"/>
      <c r="I1253" s="451"/>
      <c r="J1253" s="452"/>
    </row>
    <row r="1254" spans="1:10" ht="17.45" customHeight="1" thickBot="1" x14ac:dyDescent="0.25">
      <c r="A1254" s="140"/>
      <c r="B1254" s="453"/>
      <c r="C1254" s="454"/>
      <c r="D1254" s="454"/>
      <c r="E1254" s="454"/>
      <c r="F1254" s="454"/>
      <c r="G1254" s="454"/>
      <c r="H1254" s="454"/>
      <c r="I1254" s="454"/>
      <c r="J1254" s="455"/>
    </row>
  </sheetData>
  <sheetProtection selectLockedCells="1"/>
  <autoFilter ref="A7:M1254">
    <filterColumn colId="6" showButton="0"/>
    <filterColumn colId="8" showButton="0"/>
  </autoFilter>
  <mergeCells count="2001">
    <mergeCell ref="B1105:H1105"/>
    <mergeCell ref="I1105:J1105"/>
    <mergeCell ref="B1106:H1106"/>
    <mergeCell ref="I1106:J1106"/>
    <mergeCell ref="I1107:J1107"/>
    <mergeCell ref="B1108:H1108"/>
    <mergeCell ref="I1108:J1108"/>
    <mergeCell ref="B1109:J1110"/>
    <mergeCell ref="G1096:H1096"/>
    <mergeCell ref="I1096:J1096"/>
    <mergeCell ref="G1097:H1097"/>
    <mergeCell ref="I1097:J1097"/>
    <mergeCell ref="G1098:H1098"/>
    <mergeCell ref="I1098:J1098"/>
    <mergeCell ref="B1099:H1099"/>
    <mergeCell ref="I1099:J1099"/>
    <mergeCell ref="D1100:J1100"/>
    <mergeCell ref="G1101:H1101"/>
    <mergeCell ref="I1101:J1101"/>
    <mergeCell ref="G1102:H1102"/>
    <mergeCell ref="I1102:J1102"/>
    <mergeCell ref="G1103:H1103"/>
    <mergeCell ref="I1103:J1103"/>
    <mergeCell ref="G1104:H1104"/>
    <mergeCell ref="I1104:J1104"/>
    <mergeCell ref="B1087:H1087"/>
    <mergeCell ref="I1087:J1087"/>
    <mergeCell ref="D1088:J1088"/>
    <mergeCell ref="G1089:H1089"/>
    <mergeCell ref="I1089:J1089"/>
    <mergeCell ref="G1090:H1090"/>
    <mergeCell ref="I1090:J1090"/>
    <mergeCell ref="G1091:H1091"/>
    <mergeCell ref="I1091:J1091"/>
    <mergeCell ref="G1092:H1092"/>
    <mergeCell ref="I1092:J1092"/>
    <mergeCell ref="G1093:H1093"/>
    <mergeCell ref="I1093:J1093"/>
    <mergeCell ref="G1094:H1094"/>
    <mergeCell ref="I1094:J1094"/>
    <mergeCell ref="G1095:H1095"/>
    <mergeCell ref="I1095:J1095"/>
    <mergeCell ref="B1076:J1076"/>
    <mergeCell ref="G1077:H1077"/>
    <mergeCell ref="C1078:J1078"/>
    <mergeCell ref="E1079:H1079"/>
    <mergeCell ref="D1080:J1080"/>
    <mergeCell ref="G1081:H1081"/>
    <mergeCell ref="I1081:J1081"/>
    <mergeCell ref="G1082:H1082"/>
    <mergeCell ref="I1082:J1082"/>
    <mergeCell ref="G1083:H1083"/>
    <mergeCell ref="I1083:J1083"/>
    <mergeCell ref="G1084:H1084"/>
    <mergeCell ref="I1084:J1084"/>
    <mergeCell ref="B1085:H1085"/>
    <mergeCell ref="I1085:J1085"/>
    <mergeCell ref="B1086:E1086"/>
    <mergeCell ref="I1086:J1086"/>
    <mergeCell ref="G1029:H1029"/>
    <mergeCell ref="I1029:J1029"/>
    <mergeCell ref="G1030:H1030"/>
    <mergeCell ref="I1030:J1030"/>
    <mergeCell ref="G1031:H1031"/>
    <mergeCell ref="I1031:J1031"/>
    <mergeCell ref="G1032:H1032"/>
    <mergeCell ref="I1032:J1032"/>
    <mergeCell ref="B1033:H1033"/>
    <mergeCell ref="I1033:J1033"/>
    <mergeCell ref="B1034:H1034"/>
    <mergeCell ref="I1034:J1034"/>
    <mergeCell ref="I1035:J1035"/>
    <mergeCell ref="B1036:H1036"/>
    <mergeCell ref="I1036:J1036"/>
    <mergeCell ref="B1037:J1038"/>
    <mergeCell ref="G945:H945"/>
    <mergeCell ref="I945:J945"/>
    <mergeCell ref="G982:H982"/>
    <mergeCell ref="I982:J982"/>
    <mergeCell ref="G1020:H1020"/>
    <mergeCell ref="I1020:J1020"/>
    <mergeCell ref="G1021:H1021"/>
    <mergeCell ref="I1021:J1021"/>
    <mergeCell ref="G1022:H1022"/>
    <mergeCell ref="I1022:J1022"/>
    <mergeCell ref="G1023:H1023"/>
    <mergeCell ref="I1023:J1023"/>
    <mergeCell ref="G1024:H1024"/>
    <mergeCell ref="I1024:J1024"/>
    <mergeCell ref="G1025:H1025"/>
    <mergeCell ref="I1025:J1025"/>
    <mergeCell ref="G1026:H1026"/>
    <mergeCell ref="I1026:J1026"/>
    <mergeCell ref="B1027:H1027"/>
    <mergeCell ref="I1027:J1027"/>
    <mergeCell ref="D1028:J1028"/>
    <mergeCell ref="G1011:H1011"/>
    <mergeCell ref="I1011:J1011"/>
    <mergeCell ref="G1012:H1012"/>
    <mergeCell ref="I1012:J1012"/>
    <mergeCell ref="B1013:H1013"/>
    <mergeCell ref="I1013:J1013"/>
    <mergeCell ref="B1014:E1014"/>
    <mergeCell ref="I1014:J1014"/>
    <mergeCell ref="B1015:H1015"/>
    <mergeCell ref="I1015:J1015"/>
    <mergeCell ref="D1016:J1016"/>
    <mergeCell ref="G1017:H1017"/>
    <mergeCell ref="I1017:J1017"/>
    <mergeCell ref="G1018:H1018"/>
    <mergeCell ref="I1018:J1018"/>
    <mergeCell ref="G1019:H1019"/>
    <mergeCell ref="I1019:J1019"/>
    <mergeCell ref="B997:H997"/>
    <mergeCell ref="I997:J997"/>
    <mergeCell ref="B998:H998"/>
    <mergeCell ref="I998:J998"/>
    <mergeCell ref="I999:J999"/>
    <mergeCell ref="B1000:H1000"/>
    <mergeCell ref="I1000:J1000"/>
    <mergeCell ref="B1001:J1002"/>
    <mergeCell ref="B1004:J1004"/>
    <mergeCell ref="G1005:H1005"/>
    <mergeCell ref="C1006:J1006"/>
    <mergeCell ref="E1007:H1007"/>
    <mergeCell ref="D1008:J1008"/>
    <mergeCell ref="G1009:H1009"/>
    <mergeCell ref="I1009:J1009"/>
    <mergeCell ref="G1010:H1010"/>
    <mergeCell ref="I1010:J1010"/>
    <mergeCell ref="G988:H988"/>
    <mergeCell ref="I988:J988"/>
    <mergeCell ref="G989:H989"/>
    <mergeCell ref="I989:J989"/>
    <mergeCell ref="G990:H990"/>
    <mergeCell ref="I990:J990"/>
    <mergeCell ref="B991:H991"/>
    <mergeCell ref="I991:J991"/>
    <mergeCell ref="D992:J992"/>
    <mergeCell ref="G993:H993"/>
    <mergeCell ref="I993:J993"/>
    <mergeCell ref="G994:H994"/>
    <mergeCell ref="I994:J994"/>
    <mergeCell ref="G995:H995"/>
    <mergeCell ref="I995:J995"/>
    <mergeCell ref="G996:H996"/>
    <mergeCell ref="I996:J996"/>
    <mergeCell ref="B978:H978"/>
    <mergeCell ref="I978:J978"/>
    <mergeCell ref="D979:J979"/>
    <mergeCell ref="G980:H980"/>
    <mergeCell ref="I980:J980"/>
    <mergeCell ref="G981:H981"/>
    <mergeCell ref="I981:J981"/>
    <mergeCell ref="G983:H983"/>
    <mergeCell ref="I983:J983"/>
    <mergeCell ref="G984:H984"/>
    <mergeCell ref="I984:J984"/>
    <mergeCell ref="G985:H985"/>
    <mergeCell ref="I985:J985"/>
    <mergeCell ref="G986:H986"/>
    <mergeCell ref="I986:J986"/>
    <mergeCell ref="G987:H987"/>
    <mergeCell ref="I987:J987"/>
    <mergeCell ref="B967:J967"/>
    <mergeCell ref="G968:H968"/>
    <mergeCell ref="C969:J969"/>
    <mergeCell ref="E970:H970"/>
    <mergeCell ref="D971:J971"/>
    <mergeCell ref="G972:H972"/>
    <mergeCell ref="I972:J972"/>
    <mergeCell ref="G973:H973"/>
    <mergeCell ref="I973:J973"/>
    <mergeCell ref="G974:H974"/>
    <mergeCell ref="I974:J974"/>
    <mergeCell ref="G975:H975"/>
    <mergeCell ref="I975:J975"/>
    <mergeCell ref="B976:H976"/>
    <mergeCell ref="I976:J976"/>
    <mergeCell ref="B977:E977"/>
    <mergeCell ref="I977:J977"/>
    <mergeCell ref="B960:H960"/>
    <mergeCell ref="I960:J960"/>
    <mergeCell ref="B961:H961"/>
    <mergeCell ref="I961:J961"/>
    <mergeCell ref="I962:J962"/>
    <mergeCell ref="B963:H963"/>
    <mergeCell ref="I963:J963"/>
    <mergeCell ref="B964:J965"/>
    <mergeCell ref="B930:J930"/>
    <mergeCell ref="G931:H931"/>
    <mergeCell ref="C932:J932"/>
    <mergeCell ref="E933:H933"/>
    <mergeCell ref="D934:J934"/>
    <mergeCell ref="G935:H935"/>
    <mergeCell ref="I935:J935"/>
    <mergeCell ref="G937:H937"/>
    <mergeCell ref="I937:J937"/>
    <mergeCell ref="G950:H950"/>
    <mergeCell ref="I950:J950"/>
    <mergeCell ref="G951:H951"/>
    <mergeCell ref="I951:J951"/>
    <mergeCell ref="G952:H952"/>
    <mergeCell ref="I952:J952"/>
    <mergeCell ref="G949:H949"/>
    <mergeCell ref="I949:J949"/>
    <mergeCell ref="G947:H947"/>
    <mergeCell ref="I947:J947"/>
    <mergeCell ref="G948:H948"/>
    <mergeCell ref="I948:J948"/>
    <mergeCell ref="G953:H953"/>
    <mergeCell ref="I953:J953"/>
    <mergeCell ref="B954:H954"/>
    <mergeCell ref="I954:J954"/>
    <mergeCell ref="D955:J955"/>
    <mergeCell ref="G956:H956"/>
    <mergeCell ref="I956:J956"/>
    <mergeCell ref="G957:H957"/>
    <mergeCell ref="I957:J957"/>
    <mergeCell ref="G958:H958"/>
    <mergeCell ref="I958:J958"/>
    <mergeCell ref="G959:H959"/>
    <mergeCell ref="I959:J959"/>
    <mergeCell ref="G936:H936"/>
    <mergeCell ref="I936:J936"/>
    <mergeCell ref="G938:H938"/>
    <mergeCell ref="I938:J938"/>
    <mergeCell ref="B939:H939"/>
    <mergeCell ref="I939:J939"/>
    <mergeCell ref="B940:E940"/>
    <mergeCell ref="I940:J940"/>
    <mergeCell ref="B941:H941"/>
    <mergeCell ref="I941:J941"/>
    <mergeCell ref="D942:J942"/>
    <mergeCell ref="G943:H943"/>
    <mergeCell ref="I943:J943"/>
    <mergeCell ref="G944:H944"/>
    <mergeCell ref="I944:J944"/>
    <mergeCell ref="G946:H946"/>
    <mergeCell ref="I946:J946"/>
    <mergeCell ref="G922:H922"/>
    <mergeCell ref="I922:J922"/>
    <mergeCell ref="B923:H923"/>
    <mergeCell ref="I923:J923"/>
    <mergeCell ref="B924:H924"/>
    <mergeCell ref="I924:J924"/>
    <mergeCell ref="I925:J925"/>
    <mergeCell ref="B926:H926"/>
    <mergeCell ref="I926:J926"/>
    <mergeCell ref="B927:J928"/>
    <mergeCell ref="G913:H913"/>
    <mergeCell ref="I913:J913"/>
    <mergeCell ref="G914:H914"/>
    <mergeCell ref="I914:J914"/>
    <mergeCell ref="G915:H915"/>
    <mergeCell ref="I915:J915"/>
    <mergeCell ref="G916:H916"/>
    <mergeCell ref="I916:J916"/>
    <mergeCell ref="B917:H917"/>
    <mergeCell ref="I917:J917"/>
    <mergeCell ref="D918:J918"/>
    <mergeCell ref="G919:H919"/>
    <mergeCell ref="I919:J919"/>
    <mergeCell ref="G920:H920"/>
    <mergeCell ref="I920:J920"/>
    <mergeCell ref="G921:H921"/>
    <mergeCell ref="I921:J921"/>
    <mergeCell ref="G904:H904"/>
    <mergeCell ref="I904:J904"/>
    <mergeCell ref="G905:H905"/>
    <mergeCell ref="I905:J905"/>
    <mergeCell ref="G906:H906"/>
    <mergeCell ref="I906:J906"/>
    <mergeCell ref="B907:H907"/>
    <mergeCell ref="I907:J907"/>
    <mergeCell ref="B908:E908"/>
    <mergeCell ref="I908:J908"/>
    <mergeCell ref="B909:H909"/>
    <mergeCell ref="I909:J909"/>
    <mergeCell ref="D910:J910"/>
    <mergeCell ref="G911:H911"/>
    <mergeCell ref="I911:J911"/>
    <mergeCell ref="G912:H912"/>
    <mergeCell ref="I912:J912"/>
    <mergeCell ref="G890:H890"/>
    <mergeCell ref="I890:J890"/>
    <mergeCell ref="G891:H891"/>
    <mergeCell ref="I891:J891"/>
    <mergeCell ref="B892:H892"/>
    <mergeCell ref="I892:J892"/>
    <mergeCell ref="B893:H893"/>
    <mergeCell ref="I893:J893"/>
    <mergeCell ref="I894:J894"/>
    <mergeCell ref="B895:H895"/>
    <mergeCell ref="I895:J895"/>
    <mergeCell ref="B896:J897"/>
    <mergeCell ref="B899:J899"/>
    <mergeCell ref="G900:H900"/>
    <mergeCell ref="C901:J901"/>
    <mergeCell ref="E902:H902"/>
    <mergeCell ref="D903:J903"/>
    <mergeCell ref="G881:H881"/>
    <mergeCell ref="I881:J881"/>
    <mergeCell ref="G882:H882"/>
    <mergeCell ref="I882:J882"/>
    <mergeCell ref="G883:H883"/>
    <mergeCell ref="I883:J883"/>
    <mergeCell ref="G884:H884"/>
    <mergeCell ref="I884:J884"/>
    <mergeCell ref="G885:H885"/>
    <mergeCell ref="I885:J885"/>
    <mergeCell ref="B886:H886"/>
    <mergeCell ref="I886:J886"/>
    <mergeCell ref="D887:J887"/>
    <mergeCell ref="G888:H888"/>
    <mergeCell ref="I888:J888"/>
    <mergeCell ref="G889:H889"/>
    <mergeCell ref="I889:J889"/>
    <mergeCell ref="E871:H871"/>
    <mergeCell ref="D872:J872"/>
    <mergeCell ref="G873:H873"/>
    <mergeCell ref="I873:J873"/>
    <mergeCell ref="G874:H874"/>
    <mergeCell ref="I874:J874"/>
    <mergeCell ref="G875:H875"/>
    <mergeCell ref="I875:J875"/>
    <mergeCell ref="B876:H876"/>
    <mergeCell ref="I876:J876"/>
    <mergeCell ref="B877:E877"/>
    <mergeCell ref="I877:J877"/>
    <mergeCell ref="B878:H878"/>
    <mergeCell ref="I878:J878"/>
    <mergeCell ref="D879:J879"/>
    <mergeCell ref="G880:H880"/>
    <mergeCell ref="I880:J880"/>
    <mergeCell ref="G858:H858"/>
    <mergeCell ref="I858:J858"/>
    <mergeCell ref="G859:H859"/>
    <mergeCell ref="I859:J859"/>
    <mergeCell ref="G860:H860"/>
    <mergeCell ref="I860:J860"/>
    <mergeCell ref="B861:H861"/>
    <mergeCell ref="I861:J861"/>
    <mergeCell ref="B862:H862"/>
    <mergeCell ref="I862:J862"/>
    <mergeCell ref="I863:J863"/>
    <mergeCell ref="B864:H864"/>
    <mergeCell ref="I864:J864"/>
    <mergeCell ref="B865:J866"/>
    <mergeCell ref="B868:J868"/>
    <mergeCell ref="G869:H869"/>
    <mergeCell ref="C870:J870"/>
    <mergeCell ref="D848:J848"/>
    <mergeCell ref="G849:H849"/>
    <mergeCell ref="I849:J849"/>
    <mergeCell ref="G850:H850"/>
    <mergeCell ref="I850:J850"/>
    <mergeCell ref="G851:H851"/>
    <mergeCell ref="I851:J851"/>
    <mergeCell ref="G852:H852"/>
    <mergeCell ref="I852:J852"/>
    <mergeCell ref="G853:H853"/>
    <mergeCell ref="I853:J853"/>
    <mergeCell ref="G854:H854"/>
    <mergeCell ref="I854:J854"/>
    <mergeCell ref="B855:H855"/>
    <mergeCell ref="I855:J855"/>
    <mergeCell ref="D856:J856"/>
    <mergeCell ref="G857:H857"/>
    <mergeCell ref="I857:J857"/>
    <mergeCell ref="B837:J837"/>
    <mergeCell ref="G838:H838"/>
    <mergeCell ref="C839:J839"/>
    <mergeCell ref="E840:H840"/>
    <mergeCell ref="D841:J841"/>
    <mergeCell ref="G842:H842"/>
    <mergeCell ref="I842:J842"/>
    <mergeCell ref="G843:H843"/>
    <mergeCell ref="I843:J843"/>
    <mergeCell ref="G844:H844"/>
    <mergeCell ref="I844:J844"/>
    <mergeCell ref="B845:H845"/>
    <mergeCell ref="I845:J845"/>
    <mergeCell ref="B846:E846"/>
    <mergeCell ref="I846:J846"/>
    <mergeCell ref="B847:H847"/>
    <mergeCell ref="I847:J847"/>
    <mergeCell ref="D825:J825"/>
    <mergeCell ref="G826:H826"/>
    <mergeCell ref="I826:J826"/>
    <mergeCell ref="G827:H827"/>
    <mergeCell ref="I827:J827"/>
    <mergeCell ref="G828:H828"/>
    <mergeCell ref="I828:J828"/>
    <mergeCell ref="G829:H829"/>
    <mergeCell ref="I829:J829"/>
    <mergeCell ref="B830:H830"/>
    <mergeCell ref="I830:J830"/>
    <mergeCell ref="B831:H831"/>
    <mergeCell ref="I831:J831"/>
    <mergeCell ref="I832:J832"/>
    <mergeCell ref="B833:H833"/>
    <mergeCell ref="I833:J833"/>
    <mergeCell ref="B834:J835"/>
    <mergeCell ref="B816:H816"/>
    <mergeCell ref="I816:J816"/>
    <mergeCell ref="D817:J817"/>
    <mergeCell ref="G818:H818"/>
    <mergeCell ref="I818:J818"/>
    <mergeCell ref="G819:H819"/>
    <mergeCell ref="I819:J819"/>
    <mergeCell ref="G820:H820"/>
    <mergeCell ref="I820:J820"/>
    <mergeCell ref="G821:H821"/>
    <mergeCell ref="I821:J821"/>
    <mergeCell ref="G822:H822"/>
    <mergeCell ref="I822:J822"/>
    <mergeCell ref="G823:H823"/>
    <mergeCell ref="I823:J823"/>
    <mergeCell ref="B824:H824"/>
    <mergeCell ref="I824:J824"/>
    <mergeCell ref="B806:J806"/>
    <mergeCell ref="G807:H807"/>
    <mergeCell ref="C808:J808"/>
    <mergeCell ref="E809:H809"/>
    <mergeCell ref="D810:J810"/>
    <mergeCell ref="G811:H811"/>
    <mergeCell ref="I811:J811"/>
    <mergeCell ref="G812:H812"/>
    <mergeCell ref="I812:J812"/>
    <mergeCell ref="G813:H813"/>
    <mergeCell ref="I813:J813"/>
    <mergeCell ref="B814:H814"/>
    <mergeCell ref="I814:J814"/>
    <mergeCell ref="B815:E815"/>
    <mergeCell ref="I815:J815"/>
    <mergeCell ref="I801:J801"/>
    <mergeCell ref="B802:H802"/>
    <mergeCell ref="I802:J802"/>
    <mergeCell ref="B803:J804"/>
    <mergeCell ref="G796:H796"/>
    <mergeCell ref="I796:J796"/>
    <mergeCell ref="G797:H797"/>
    <mergeCell ref="I797:J797"/>
    <mergeCell ref="G798:H798"/>
    <mergeCell ref="I798:J798"/>
    <mergeCell ref="B799:H799"/>
    <mergeCell ref="I799:J799"/>
    <mergeCell ref="B800:H800"/>
    <mergeCell ref="I800:J800"/>
    <mergeCell ref="G791:H791"/>
    <mergeCell ref="I791:J791"/>
    <mergeCell ref="G792:H792"/>
    <mergeCell ref="I792:J792"/>
    <mergeCell ref="B793:H793"/>
    <mergeCell ref="I793:J793"/>
    <mergeCell ref="D794:J794"/>
    <mergeCell ref="G795:H795"/>
    <mergeCell ref="I795:J795"/>
    <mergeCell ref="D786:J786"/>
    <mergeCell ref="G787:H787"/>
    <mergeCell ref="I787:J787"/>
    <mergeCell ref="G788:H788"/>
    <mergeCell ref="I788:J788"/>
    <mergeCell ref="G789:H789"/>
    <mergeCell ref="I789:J789"/>
    <mergeCell ref="G790:H790"/>
    <mergeCell ref="I790:J790"/>
    <mergeCell ref="G781:H781"/>
    <mergeCell ref="I781:J781"/>
    <mergeCell ref="G782:H782"/>
    <mergeCell ref="I782:J782"/>
    <mergeCell ref="B783:H783"/>
    <mergeCell ref="I783:J783"/>
    <mergeCell ref="B784:E784"/>
    <mergeCell ref="I784:J784"/>
    <mergeCell ref="B785:H785"/>
    <mergeCell ref="I785:J785"/>
    <mergeCell ref="B771:J772"/>
    <mergeCell ref="B774:J774"/>
    <mergeCell ref="G775:H775"/>
    <mergeCell ref="C776:J776"/>
    <mergeCell ref="E777:H777"/>
    <mergeCell ref="D778:J778"/>
    <mergeCell ref="G779:H779"/>
    <mergeCell ref="I779:J779"/>
    <mergeCell ref="G780:H780"/>
    <mergeCell ref="I780:J780"/>
    <mergeCell ref="G766:H766"/>
    <mergeCell ref="I766:J766"/>
    <mergeCell ref="B767:H767"/>
    <mergeCell ref="I767:J767"/>
    <mergeCell ref="B768:H768"/>
    <mergeCell ref="I768:J768"/>
    <mergeCell ref="I769:J769"/>
    <mergeCell ref="B770:H770"/>
    <mergeCell ref="I770:J770"/>
    <mergeCell ref="B761:H761"/>
    <mergeCell ref="I761:J761"/>
    <mergeCell ref="D762:J762"/>
    <mergeCell ref="G763:H763"/>
    <mergeCell ref="I763:J763"/>
    <mergeCell ref="G764:H764"/>
    <mergeCell ref="I764:J764"/>
    <mergeCell ref="G765:H765"/>
    <mergeCell ref="I765:J765"/>
    <mergeCell ref="G756:H756"/>
    <mergeCell ref="I756:J756"/>
    <mergeCell ref="G757:H757"/>
    <mergeCell ref="I757:J757"/>
    <mergeCell ref="G758:H758"/>
    <mergeCell ref="I758:J758"/>
    <mergeCell ref="G759:H759"/>
    <mergeCell ref="I759:J759"/>
    <mergeCell ref="G760:H760"/>
    <mergeCell ref="I760:J760"/>
    <mergeCell ref="B751:H751"/>
    <mergeCell ref="I751:J751"/>
    <mergeCell ref="B752:E752"/>
    <mergeCell ref="I752:J752"/>
    <mergeCell ref="B753:H753"/>
    <mergeCell ref="I753:J753"/>
    <mergeCell ref="D754:J754"/>
    <mergeCell ref="G755:H755"/>
    <mergeCell ref="I755:J755"/>
    <mergeCell ref="D746:J746"/>
    <mergeCell ref="G747:H747"/>
    <mergeCell ref="I747:J747"/>
    <mergeCell ref="G748:H748"/>
    <mergeCell ref="I748:J748"/>
    <mergeCell ref="G749:H749"/>
    <mergeCell ref="I749:J749"/>
    <mergeCell ref="G750:H750"/>
    <mergeCell ref="I750:J750"/>
    <mergeCell ref="B738:H738"/>
    <mergeCell ref="I738:J738"/>
    <mergeCell ref="B739:J740"/>
    <mergeCell ref="G727:H727"/>
    <mergeCell ref="I727:J727"/>
    <mergeCell ref="B742:J742"/>
    <mergeCell ref="G743:H743"/>
    <mergeCell ref="C744:J744"/>
    <mergeCell ref="E745:H745"/>
    <mergeCell ref="G733:H733"/>
    <mergeCell ref="I733:J733"/>
    <mergeCell ref="G734:H734"/>
    <mergeCell ref="I734:J734"/>
    <mergeCell ref="B735:H735"/>
    <mergeCell ref="I735:J735"/>
    <mergeCell ref="B736:H736"/>
    <mergeCell ref="I736:J736"/>
    <mergeCell ref="I737:J737"/>
    <mergeCell ref="G728:H728"/>
    <mergeCell ref="I728:J728"/>
    <mergeCell ref="B729:H729"/>
    <mergeCell ref="I729:J729"/>
    <mergeCell ref="D730:J730"/>
    <mergeCell ref="G731:H731"/>
    <mergeCell ref="I731:J731"/>
    <mergeCell ref="G732:H732"/>
    <mergeCell ref="I732:J732"/>
    <mergeCell ref="D722:J722"/>
    <mergeCell ref="G723:H723"/>
    <mergeCell ref="I723:J723"/>
    <mergeCell ref="G724:H724"/>
    <mergeCell ref="I724:J724"/>
    <mergeCell ref="G725:H725"/>
    <mergeCell ref="I725:J725"/>
    <mergeCell ref="G726:H726"/>
    <mergeCell ref="I726:J726"/>
    <mergeCell ref="G717:H717"/>
    <mergeCell ref="I717:J717"/>
    <mergeCell ref="G718:H718"/>
    <mergeCell ref="I718:J718"/>
    <mergeCell ref="B719:H719"/>
    <mergeCell ref="I719:J719"/>
    <mergeCell ref="B720:E720"/>
    <mergeCell ref="I720:J720"/>
    <mergeCell ref="B721:H721"/>
    <mergeCell ref="I721:J721"/>
    <mergeCell ref="B707:J708"/>
    <mergeCell ref="B710:J710"/>
    <mergeCell ref="G711:H711"/>
    <mergeCell ref="C712:J712"/>
    <mergeCell ref="E713:H713"/>
    <mergeCell ref="D714:J714"/>
    <mergeCell ref="G715:H715"/>
    <mergeCell ref="I715:J715"/>
    <mergeCell ref="G716:H716"/>
    <mergeCell ref="I716:J716"/>
    <mergeCell ref="G702:H702"/>
    <mergeCell ref="I702:J702"/>
    <mergeCell ref="B703:H703"/>
    <mergeCell ref="I703:J703"/>
    <mergeCell ref="B704:H704"/>
    <mergeCell ref="I704:J704"/>
    <mergeCell ref="I705:J705"/>
    <mergeCell ref="B706:H706"/>
    <mergeCell ref="I706:J706"/>
    <mergeCell ref="B697:H697"/>
    <mergeCell ref="I697:J697"/>
    <mergeCell ref="D698:J698"/>
    <mergeCell ref="G699:H699"/>
    <mergeCell ref="I699:J699"/>
    <mergeCell ref="G700:H700"/>
    <mergeCell ref="I700:J700"/>
    <mergeCell ref="G701:H701"/>
    <mergeCell ref="I701:J701"/>
    <mergeCell ref="G692:H692"/>
    <mergeCell ref="I692:J692"/>
    <mergeCell ref="G693:H693"/>
    <mergeCell ref="I693:J693"/>
    <mergeCell ref="G694:H694"/>
    <mergeCell ref="I694:J694"/>
    <mergeCell ref="G695:H695"/>
    <mergeCell ref="I695:J695"/>
    <mergeCell ref="G696:H696"/>
    <mergeCell ref="I696:J696"/>
    <mergeCell ref="G687:H687"/>
    <mergeCell ref="I687:J687"/>
    <mergeCell ref="B688:H688"/>
    <mergeCell ref="I688:J688"/>
    <mergeCell ref="B689:E689"/>
    <mergeCell ref="I689:J689"/>
    <mergeCell ref="B690:H690"/>
    <mergeCell ref="I690:J690"/>
    <mergeCell ref="D691:J691"/>
    <mergeCell ref="G680:H680"/>
    <mergeCell ref="C681:J681"/>
    <mergeCell ref="E682:H682"/>
    <mergeCell ref="D683:J683"/>
    <mergeCell ref="G684:H684"/>
    <mergeCell ref="I684:J684"/>
    <mergeCell ref="G685:H685"/>
    <mergeCell ref="I685:J685"/>
    <mergeCell ref="G686:H686"/>
    <mergeCell ref="I686:J686"/>
    <mergeCell ref="B672:H672"/>
    <mergeCell ref="I672:J672"/>
    <mergeCell ref="B673:H673"/>
    <mergeCell ref="I673:J673"/>
    <mergeCell ref="I674:J674"/>
    <mergeCell ref="B675:H675"/>
    <mergeCell ref="I675:J675"/>
    <mergeCell ref="B676:J677"/>
    <mergeCell ref="B679:J679"/>
    <mergeCell ref="D667:J667"/>
    <mergeCell ref="G668:H668"/>
    <mergeCell ref="I668:J668"/>
    <mergeCell ref="G669:H669"/>
    <mergeCell ref="I669:J669"/>
    <mergeCell ref="G670:H670"/>
    <mergeCell ref="I670:J670"/>
    <mergeCell ref="G671:H671"/>
    <mergeCell ref="I671:J671"/>
    <mergeCell ref="G662:H662"/>
    <mergeCell ref="I662:J662"/>
    <mergeCell ref="G663:H663"/>
    <mergeCell ref="I663:J663"/>
    <mergeCell ref="G664:H664"/>
    <mergeCell ref="I664:J664"/>
    <mergeCell ref="G665:H665"/>
    <mergeCell ref="I665:J665"/>
    <mergeCell ref="B666:H666"/>
    <mergeCell ref="I666:J666"/>
    <mergeCell ref="B657:H657"/>
    <mergeCell ref="I657:J657"/>
    <mergeCell ref="B658:E658"/>
    <mergeCell ref="I658:J658"/>
    <mergeCell ref="B659:H659"/>
    <mergeCell ref="I659:J659"/>
    <mergeCell ref="D660:J660"/>
    <mergeCell ref="G661:H661"/>
    <mergeCell ref="I661:J661"/>
    <mergeCell ref="E651:H651"/>
    <mergeCell ref="D652:J652"/>
    <mergeCell ref="G653:H653"/>
    <mergeCell ref="I653:J653"/>
    <mergeCell ref="G654:H654"/>
    <mergeCell ref="I654:J654"/>
    <mergeCell ref="G655:H655"/>
    <mergeCell ref="I655:J655"/>
    <mergeCell ref="G656:H656"/>
    <mergeCell ref="I656:J656"/>
    <mergeCell ref="B642:H642"/>
    <mergeCell ref="I642:J642"/>
    <mergeCell ref="I643:J643"/>
    <mergeCell ref="B644:H644"/>
    <mergeCell ref="I644:J644"/>
    <mergeCell ref="B645:J646"/>
    <mergeCell ref="B648:J648"/>
    <mergeCell ref="G649:H649"/>
    <mergeCell ref="C650:J650"/>
    <mergeCell ref="G637:H637"/>
    <mergeCell ref="I637:J637"/>
    <mergeCell ref="G638:H638"/>
    <mergeCell ref="I638:J638"/>
    <mergeCell ref="G639:H639"/>
    <mergeCell ref="I639:J639"/>
    <mergeCell ref="G640:H640"/>
    <mergeCell ref="I640:J640"/>
    <mergeCell ref="B641:H641"/>
    <mergeCell ref="I641:J641"/>
    <mergeCell ref="G632:H632"/>
    <mergeCell ref="I632:J632"/>
    <mergeCell ref="G633:H633"/>
    <mergeCell ref="I633:J633"/>
    <mergeCell ref="G634:H634"/>
    <mergeCell ref="I634:J634"/>
    <mergeCell ref="B635:H635"/>
    <mergeCell ref="I635:J635"/>
    <mergeCell ref="D636:J636"/>
    <mergeCell ref="B627:E627"/>
    <mergeCell ref="I627:J627"/>
    <mergeCell ref="B628:H628"/>
    <mergeCell ref="I628:J628"/>
    <mergeCell ref="D629:J629"/>
    <mergeCell ref="G630:H630"/>
    <mergeCell ref="I630:J630"/>
    <mergeCell ref="G631:H631"/>
    <mergeCell ref="I631:J631"/>
    <mergeCell ref="G622:H622"/>
    <mergeCell ref="I622:J622"/>
    <mergeCell ref="G623:H623"/>
    <mergeCell ref="I623:J623"/>
    <mergeCell ref="G624:H624"/>
    <mergeCell ref="I624:J624"/>
    <mergeCell ref="G625:H625"/>
    <mergeCell ref="I625:J625"/>
    <mergeCell ref="B626:H626"/>
    <mergeCell ref="I626:J626"/>
    <mergeCell ref="I612:J612"/>
    <mergeCell ref="B613:H613"/>
    <mergeCell ref="I613:J613"/>
    <mergeCell ref="B614:J615"/>
    <mergeCell ref="B617:J617"/>
    <mergeCell ref="G618:H618"/>
    <mergeCell ref="C619:J619"/>
    <mergeCell ref="E620:H620"/>
    <mergeCell ref="D621:J621"/>
    <mergeCell ref="G607:H607"/>
    <mergeCell ref="I607:J607"/>
    <mergeCell ref="G608:H608"/>
    <mergeCell ref="I608:J608"/>
    <mergeCell ref="G609:H609"/>
    <mergeCell ref="I609:J609"/>
    <mergeCell ref="B610:H610"/>
    <mergeCell ref="I610:J610"/>
    <mergeCell ref="B611:H611"/>
    <mergeCell ref="I611:J611"/>
    <mergeCell ref="G602:H602"/>
    <mergeCell ref="I602:J602"/>
    <mergeCell ref="G603:H603"/>
    <mergeCell ref="I603:J603"/>
    <mergeCell ref="B604:H604"/>
    <mergeCell ref="I604:J604"/>
    <mergeCell ref="D605:J605"/>
    <mergeCell ref="G606:H606"/>
    <mergeCell ref="I606:J606"/>
    <mergeCell ref="B597:H597"/>
    <mergeCell ref="I597:J597"/>
    <mergeCell ref="D598:J598"/>
    <mergeCell ref="G599:H599"/>
    <mergeCell ref="I599:J599"/>
    <mergeCell ref="G600:H600"/>
    <mergeCell ref="I600:J600"/>
    <mergeCell ref="G601:H601"/>
    <mergeCell ref="I601:J601"/>
    <mergeCell ref="G592:H592"/>
    <mergeCell ref="I592:J592"/>
    <mergeCell ref="G593:H593"/>
    <mergeCell ref="I593:J593"/>
    <mergeCell ref="G594:H594"/>
    <mergeCell ref="I594:J594"/>
    <mergeCell ref="B595:H595"/>
    <mergeCell ref="I595:J595"/>
    <mergeCell ref="B596:E596"/>
    <mergeCell ref="I596:J596"/>
    <mergeCell ref="B582:H582"/>
    <mergeCell ref="I582:J582"/>
    <mergeCell ref="B583:J584"/>
    <mergeCell ref="B586:J586"/>
    <mergeCell ref="G587:H587"/>
    <mergeCell ref="C588:J588"/>
    <mergeCell ref="E589:H589"/>
    <mergeCell ref="D590:J590"/>
    <mergeCell ref="G591:H591"/>
    <mergeCell ref="I591:J591"/>
    <mergeCell ref="G577:H577"/>
    <mergeCell ref="I577:J577"/>
    <mergeCell ref="G578:H578"/>
    <mergeCell ref="I578:J578"/>
    <mergeCell ref="B579:H579"/>
    <mergeCell ref="I579:J579"/>
    <mergeCell ref="B580:H580"/>
    <mergeCell ref="I580:J580"/>
    <mergeCell ref="I581:J581"/>
    <mergeCell ref="G572:H572"/>
    <mergeCell ref="I572:J572"/>
    <mergeCell ref="B573:H573"/>
    <mergeCell ref="I573:J573"/>
    <mergeCell ref="D574:J574"/>
    <mergeCell ref="G575:H575"/>
    <mergeCell ref="I575:J575"/>
    <mergeCell ref="G576:H576"/>
    <mergeCell ref="I576:J576"/>
    <mergeCell ref="D567:J567"/>
    <mergeCell ref="G568:H568"/>
    <mergeCell ref="I568:J568"/>
    <mergeCell ref="G569:H569"/>
    <mergeCell ref="I569:J569"/>
    <mergeCell ref="G570:H570"/>
    <mergeCell ref="I570:J570"/>
    <mergeCell ref="G571:H571"/>
    <mergeCell ref="I571:J571"/>
    <mergeCell ref="G562:H562"/>
    <mergeCell ref="I562:J562"/>
    <mergeCell ref="G563:H563"/>
    <mergeCell ref="I563:J563"/>
    <mergeCell ref="B564:H564"/>
    <mergeCell ref="I564:J564"/>
    <mergeCell ref="B565:E565"/>
    <mergeCell ref="I565:J565"/>
    <mergeCell ref="B566:H566"/>
    <mergeCell ref="I566:J566"/>
    <mergeCell ref="B552:J553"/>
    <mergeCell ref="B555:J555"/>
    <mergeCell ref="G556:H556"/>
    <mergeCell ref="C557:J557"/>
    <mergeCell ref="E558:H558"/>
    <mergeCell ref="D559:J559"/>
    <mergeCell ref="G560:H560"/>
    <mergeCell ref="I560:J560"/>
    <mergeCell ref="G561:H561"/>
    <mergeCell ref="I561:J561"/>
    <mergeCell ref="G547:H547"/>
    <mergeCell ref="I547:J547"/>
    <mergeCell ref="B548:H548"/>
    <mergeCell ref="I548:J548"/>
    <mergeCell ref="B549:H549"/>
    <mergeCell ref="I549:J549"/>
    <mergeCell ref="I550:J550"/>
    <mergeCell ref="B551:H551"/>
    <mergeCell ref="I551:J551"/>
    <mergeCell ref="B542:H542"/>
    <mergeCell ref="I542:J542"/>
    <mergeCell ref="D543:J543"/>
    <mergeCell ref="G544:H544"/>
    <mergeCell ref="I544:J544"/>
    <mergeCell ref="G545:H545"/>
    <mergeCell ref="I545:J545"/>
    <mergeCell ref="G546:H546"/>
    <mergeCell ref="I546:J546"/>
    <mergeCell ref="D537:J537"/>
    <mergeCell ref="G538:H538"/>
    <mergeCell ref="I538:J538"/>
    <mergeCell ref="G539:H539"/>
    <mergeCell ref="I539:J539"/>
    <mergeCell ref="G540:H540"/>
    <mergeCell ref="I540:J540"/>
    <mergeCell ref="G541:H541"/>
    <mergeCell ref="I541:J541"/>
    <mergeCell ref="G532:H532"/>
    <mergeCell ref="I532:J532"/>
    <mergeCell ref="G533:H533"/>
    <mergeCell ref="I533:J533"/>
    <mergeCell ref="B534:H534"/>
    <mergeCell ref="I534:J534"/>
    <mergeCell ref="B535:E535"/>
    <mergeCell ref="I535:J535"/>
    <mergeCell ref="B536:H536"/>
    <mergeCell ref="I536:J536"/>
    <mergeCell ref="B522:J523"/>
    <mergeCell ref="B525:J525"/>
    <mergeCell ref="G526:H526"/>
    <mergeCell ref="C527:J527"/>
    <mergeCell ref="E528:H528"/>
    <mergeCell ref="D529:J529"/>
    <mergeCell ref="G530:H530"/>
    <mergeCell ref="I530:J530"/>
    <mergeCell ref="G531:H531"/>
    <mergeCell ref="I531:J531"/>
    <mergeCell ref="G517:H517"/>
    <mergeCell ref="I517:J517"/>
    <mergeCell ref="B518:H518"/>
    <mergeCell ref="I518:J518"/>
    <mergeCell ref="B519:H519"/>
    <mergeCell ref="I519:J519"/>
    <mergeCell ref="I520:J520"/>
    <mergeCell ref="B521:H521"/>
    <mergeCell ref="I521:J521"/>
    <mergeCell ref="B512:H512"/>
    <mergeCell ref="I512:J512"/>
    <mergeCell ref="D513:J513"/>
    <mergeCell ref="G514:H514"/>
    <mergeCell ref="I514:J514"/>
    <mergeCell ref="G515:H515"/>
    <mergeCell ref="I515:J515"/>
    <mergeCell ref="G516:H516"/>
    <mergeCell ref="I516:J516"/>
    <mergeCell ref="D507:J507"/>
    <mergeCell ref="G508:H508"/>
    <mergeCell ref="I508:J508"/>
    <mergeCell ref="G509:H509"/>
    <mergeCell ref="I509:J509"/>
    <mergeCell ref="G510:H510"/>
    <mergeCell ref="I510:J510"/>
    <mergeCell ref="G511:H511"/>
    <mergeCell ref="I511:J511"/>
    <mergeCell ref="G502:H502"/>
    <mergeCell ref="I502:J502"/>
    <mergeCell ref="G503:H503"/>
    <mergeCell ref="I503:J503"/>
    <mergeCell ref="B504:H504"/>
    <mergeCell ref="I504:J504"/>
    <mergeCell ref="B505:E505"/>
    <mergeCell ref="I505:J505"/>
    <mergeCell ref="B506:H506"/>
    <mergeCell ref="I506:J506"/>
    <mergeCell ref="B495:J495"/>
    <mergeCell ref="G496:H496"/>
    <mergeCell ref="C497:J497"/>
    <mergeCell ref="E498:H498"/>
    <mergeCell ref="D499:J499"/>
    <mergeCell ref="G500:H500"/>
    <mergeCell ref="I500:J500"/>
    <mergeCell ref="G501:H501"/>
    <mergeCell ref="I501:J501"/>
    <mergeCell ref="B465:J465"/>
    <mergeCell ref="G466:H466"/>
    <mergeCell ref="C467:J467"/>
    <mergeCell ref="E468:H468"/>
    <mergeCell ref="D469:J469"/>
    <mergeCell ref="G470:H470"/>
    <mergeCell ref="I470:J470"/>
    <mergeCell ref="G471:H471"/>
    <mergeCell ref="I471:J471"/>
    <mergeCell ref="B482:H482"/>
    <mergeCell ref="D483:J483"/>
    <mergeCell ref="G484:H484"/>
    <mergeCell ref="I484:J484"/>
    <mergeCell ref="B488:H488"/>
    <mergeCell ref="B491:H491"/>
    <mergeCell ref="B492:J493"/>
    <mergeCell ref="G487:H487"/>
    <mergeCell ref="I487:J487"/>
    <mergeCell ref="I488:J488"/>
    <mergeCell ref="B489:H489"/>
    <mergeCell ref="I489:J489"/>
    <mergeCell ref="I490:J490"/>
    <mergeCell ref="I491:J491"/>
    <mergeCell ref="I482:J482"/>
    <mergeCell ref="G485:H485"/>
    <mergeCell ref="I485:J485"/>
    <mergeCell ref="G486:H486"/>
    <mergeCell ref="I486:J486"/>
    <mergeCell ref="D477:J477"/>
    <mergeCell ref="G478:H478"/>
    <mergeCell ref="I478:J478"/>
    <mergeCell ref="G479:H479"/>
    <mergeCell ref="I479:J479"/>
    <mergeCell ref="G480:H480"/>
    <mergeCell ref="I480:J480"/>
    <mergeCell ref="G481:H481"/>
    <mergeCell ref="I481:J481"/>
    <mergeCell ref="G472:H472"/>
    <mergeCell ref="I472:J472"/>
    <mergeCell ref="G473:H473"/>
    <mergeCell ref="I473:J473"/>
    <mergeCell ref="B474:H474"/>
    <mergeCell ref="I474:J474"/>
    <mergeCell ref="B475:E475"/>
    <mergeCell ref="I475:J475"/>
    <mergeCell ref="B476:H476"/>
    <mergeCell ref="I476:J476"/>
    <mergeCell ref="B462:J463"/>
    <mergeCell ref="G457:H457"/>
    <mergeCell ref="I457:J457"/>
    <mergeCell ref="B458:H458"/>
    <mergeCell ref="I458:J458"/>
    <mergeCell ref="B459:H459"/>
    <mergeCell ref="I459:J459"/>
    <mergeCell ref="I460:J460"/>
    <mergeCell ref="B461:H461"/>
    <mergeCell ref="I461:J461"/>
    <mergeCell ref="B452:H452"/>
    <mergeCell ref="I452:J452"/>
    <mergeCell ref="D453:J453"/>
    <mergeCell ref="G454:H454"/>
    <mergeCell ref="I454:J454"/>
    <mergeCell ref="G455:H455"/>
    <mergeCell ref="I455:J455"/>
    <mergeCell ref="G456:H456"/>
    <mergeCell ref="I456:J456"/>
    <mergeCell ref="G447:H447"/>
    <mergeCell ref="I447:J447"/>
    <mergeCell ref="G448:H448"/>
    <mergeCell ref="I448:J448"/>
    <mergeCell ref="G449:H449"/>
    <mergeCell ref="I449:J449"/>
    <mergeCell ref="G450:H450"/>
    <mergeCell ref="I450:J450"/>
    <mergeCell ref="G451:H451"/>
    <mergeCell ref="I451:J451"/>
    <mergeCell ref="G442:H442"/>
    <mergeCell ref="I442:J442"/>
    <mergeCell ref="B443:H443"/>
    <mergeCell ref="I443:J443"/>
    <mergeCell ref="B444:E444"/>
    <mergeCell ref="I444:J444"/>
    <mergeCell ref="B445:H445"/>
    <mergeCell ref="I445:J445"/>
    <mergeCell ref="D446:J446"/>
    <mergeCell ref="G435:H435"/>
    <mergeCell ref="C436:J436"/>
    <mergeCell ref="E437:H437"/>
    <mergeCell ref="D438:J438"/>
    <mergeCell ref="G439:H439"/>
    <mergeCell ref="I439:J439"/>
    <mergeCell ref="G440:H440"/>
    <mergeCell ref="I440:J440"/>
    <mergeCell ref="G441:H441"/>
    <mergeCell ref="I441:J441"/>
    <mergeCell ref="B428:H428"/>
    <mergeCell ref="I428:J428"/>
    <mergeCell ref="I429:J429"/>
    <mergeCell ref="B430:H430"/>
    <mergeCell ref="I430:J430"/>
    <mergeCell ref="B431:J432"/>
    <mergeCell ref="G418:H418"/>
    <mergeCell ref="I418:J418"/>
    <mergeCell ref="B434:J434"/>
    <mergeCell ref="G423:H423"/>
    <mergeCell ref="I423:J423"/>
    <mergeCell ref="G424:H424"/>
    <mergeCell ref="I424:J424"/>
    <mergeCell ref="G425:H425"/>
    <mergeCell ref="I425:J425"/>
    <mergeCell ref="G426:H426"/>
    <mergeCell ref="I426:J426"/>
    <mergeCell ref="B427:H427"/>
    <mergeCell ref="I427:J427"/>
    <mergeCell ref="G417:H417"/>
    <mergeCell ref="I417:J417"/>
    <mergeCell ref="G419:H419"/>
    <mergeCell ref="I419:J419"/>
    <mergeCell ref="G420:H420"/>
    <mergeCell ref="I420:J420"/>
    <mergeCell ref="B421:H421"/>
    <mergeCell ref="I421:J421"/>
    <mergeCell ref="D422:J422"/>
    <mergeCell ref="B412:H412"/>
    <mergeCell ref="I412:J412"/>
    <mergeCell ref="B413:E413"/>
    <mergeCell ref="I413:J413"/>
    <mergeCell ref="B414:H414"/>
    <mergeCell ref="I414:J414"/>
    <mergeCell ref="D415:J415"/>
    <mergeCell ref="G416:H416"/>
    <mergeCell ref="I416:J416"/>
    <mergeCell ref="E406:H406"/>
    <mergeCell ref="D407:J407"/>
    <mergeCell ref="G408:H408"/>
    <mergeCell ref="I408:J408"/>
    <mergeCell ref="G409:H409"/>
    <mergeCell ref="I409:J409"/>
    <mergeCell ref="G410:H410"/>
    <mergeCell ref="I410:J410"/>
    <mergeCell ref="G411:H411"/>
    <mergeCell ref="I411:J411"/>
    <mergeCell ref="B397:H397"/>
    <mergeCell ref="I397:J397"/>
    <mergeCell ref="I398:J398"/>
    <mergeCell ref="B399:H399"/>
    <mergeCell ref="I399:J399"/>
    <mergeCell ref="B400:J401"/>
    <mergeCell ref="B403:J403"/>
    <mergeCell ref="G404:H404"/>
    <mergeCell ref="C405:J405"/>
    <mergeCell ref="G392:H392"/>
    <mergeCell ref="I392:J392"/>
    <mergeCell ref="G393:H393"/>
    <mergeCell ref="I393:J393"/>
    <mergeCell ref="G394:H394"/>
    <mergeCell ref="I394:J394"/>
    <mergeCell ref="G395:H395"/>
    <mergeCell ref="I395:J395"/>
    <mergeCell ref="B396:H396"/>
    <mergeCell ref="I396:J396"/>
    <mergeCell ref="G387:H387"/>
    <mergeCell ref="I387:J387"/>
    <mergeCell ref="G388:H388"/>
    <mergeCell ref="I388:J388"/>
    <mergeCell ref="G389:H389"/>
    <mergeCell ref="I389:J389"/>
    <mergeCell ref="B390:H390"/>
    <mergeCell ref="I390:J390"/>
    <mergeCell ref="D391:J391"/>
    <mergeCell ref="B382:H382"/>
    <mergeCell ref="I382:J382"/>
    <mergeCell ref="B383:E383"/>
    <mergeCell ref="I383:J383"/>
    <mergeCell ref="B384:H384"/>
    <mergeCell ref="I384:J384"/>
    <mergeCell ref="D385:J385"/>
    <mergeCell ref="G386:H386"/>
    <mergeCell ref="I386:J386"/>
    <mergeCell ref="E376:H376"/>
    <mergeCell ref="D377:J377"/>
    <mergeCell ref="G378:H378"/>
    <mergeCell ref="I378:J378"/>
    <mergeCell ref="G379:H379"/>
    <mergeCell ref="I379:J379"/>
    <mergeCell ref="G380:H380"/>
    <mergeCell ref="I380:J380"/>
    <mergeCell ref="G381:H381"/>
    <mergeCell ref="I381:J381"/>
    <mergeCell ref="B367:H367"/>
    <mergeCell ref="I367:J367"/>
    <mergeCell ref="I368:J368"/>
    <mergeCell ref="B369:H369"/>
    <mergeCell ref="I369:J369"/>
    <mergeCell ref="B370:J371"/>
    <mergeCell ref="B373:J373"/>
    <mergeCell ref="G374:H374"/>
    <mergeCell ref="C375:J375"/>
    <mergeCell ref="G362:H362"/>
    <mergeCell ref="I362:J362"/>
    <mergeCell ref="G363:H363"/>
    <mergeCell ref="I363:J363"/>
    <mergeCell ref="G364:H364"/>
    <mergeCell ref="I364:J364"/>
    <mergeCell ref="G365:H365"/>
    <mergeCell ref="I365:J365"/>
    <mergeCell ref="B366:H366"/>
    <mergeCell ref="I366:J366"/>
    <mergeCell ref="G358:H358"/>
    <mergeCell ref="I358:J358"/>
    <mergeCell ref="G359:H359"/>
    <mergeCell ref="I359:J359"/>
    <mergeCell ref="B360:H360"/>
    <mergeCell ref="I360:J360"/>
    <mergeCell ref="D361:J361"/>
    <mergeCell ref="B353:E353"/>
    <mergeCell ref="I353:J353"/>
    <mergeCell ref="B354:H354"/>
    <mergeCell ref="I354:J354"/>
    <mergeCell ref="D355:J355"/>
    <mergeCell ref="G356:H356"/>
    <mergeCell ref="I356:J356"/>
    <mergeCell ref="G357:H357"/>
    <mergeCell ref="I357:J357"/>
    <mergeCell ref="G348:H348"/>
    <mergeCell ref="I348:J348"/>
    <mergeCell ref="G349:H349"/>
    <mergeCell ref="I349:J349"/>
    <mergeCell ref="G350:H350"/>
    <mergeCell ref="I350:J350"/>
    <mergeCell ref="G351:H351"/>
    <mergeCell ref="I351:J351"/>
    <mergeCell ref="B352:H352"/>
    <mergeCell ref="I352:J352"/>
    <mergeCell ref="I338:J338"/>
    <mergeCell ref="B339:H339"/>
    <mergeCell ref="I339:J339"/>
    <mergeCell ref="B340:J341"/>
    <mergeCell ref="B343:J343"/>
    <mergeCell ref="G344:H344"/>
    <mergeCell ref="C345:J345"/>
    <mergeCell ref="E346:H346"/>
    <mergeCell ref="D347:J347"/>
    <mergeCell ref="G333:H333"/>
    <mergeCell ref="I333:J333"/>
    <mergeCell ref="G334:H334"/>
    <mergeCell ref="I334:J334"/>
    <mergeCell ref="G335:H335"/>
    <mergeCell ref="I335:J335"/>
    <mergeCell ref="B336:H336"/>
    <mergeCell ref="I336:J336"/>
    <mergeCell ref="B337:H337"/>
    <mergeCell ref="I337:J337"/>
    <mergeCell ref="G328:H328"/>
    <mergeCell ref="I328:J328"/>
    <mergeCell ref="G329:H329"/>
    <mergeCell ref="I329:J329"/>
    <mergeCell ref="B330:H330"/>
    <mergeCell ref="I330:J330"/>
    <mergeCell ref="D331:J331"/>
    <mergeCell ref="G332:H332"/>
    <mergeCell ref="I332:J332"/>
    <mergeCell ref="B323:H323"/>
    <mergeCell ref="I323:J323"/>
    <mergeCell ref="D324:J324"/>
    <mergeCell ref="G325:H325"/>
    <mergeCell ref="I325:J325"/>
    <mergeCell ref="G326:H326"/>
    <mergeCell ref="I326:J326"/>
    <mergeCell ref="G327:H327"/>
    <mergeCell ref="I327:J327"/>
    <mergeCell ref="G318:H318"/>
    <mergeCell ref="I318:J318"/>
    <mergeCell ref="G319:H319"/>
    <mergeCell ref="I319:J319"/>
    <mergeCell ref="G320:H320"/>
    <mergeCell ref="I320:J320"/>
    <mergeCell ref="B321:H321"/>
    <mergeCell ref="I321:J321"/>
    <mergeCell ref="B322:E322"/>
    <mergeCell ref="I322:J322"/>
    <mergeCell ref="B308:H308"/>
    <mergeCell ref="I308:J308"/>
    <mergeCell ref="B309:J310"/>
    <mergeCell ref="B312:J312"/>
    <mergeCell ref="G313:H313"/>
    <mergeCell ref="C314:J314"/>
    <mergeCell ref="E315:H315"/>
    <mergeCell ref="D316:J316"/>
    <mergeCell ref="G317:H317"/>
    <mergeCell ref="I317:J317"/>
    <mergeCell ref="G303:H303"/>
    <mergeCell ref="I303:J303"/>
    <mergeCell ref="G304:H304"/>
    <mergeCell ref="I304:J304"/>
    <mergeCell ref="B305:H305"/>
    <mergeCell ref="I305:J305"/>
    <mergeCell ref="B306:H306"/>
    <mergeCell ref="I306:J306"/>
    <mergeCell ref="I307:J307"/>
    <mergeCell ref="G298:H298"/>
    <mergeCell ref="I298:J298"/>
    <mergeCell ref="B299:H299"/>
    <mergeCell ref="I299:J299"/>
    <mergeCell ref="D300:J300"/>
    <mergeCell ref="G301:H301"/>
    <mergeCell ref="I301:J301"/>
    <mergeCell ref="G302:H302"/>
    <mergeCell ref="I302:J302"/>
    <mergeCell ref="D293:J293"/>
    <mergeCell ref="G294:H294"/>
    <mergeCell ref="I294:J294"/>
    <mergeCell ref="G295:H295"/>
    <mergeCell ref="I295:J295"/>
    <mergeCell ref="G296:H296"/>
    <mergeCell ref="I296:J296"/>
    <mergeCell ref="G297:H297"/>
    <mergeCell ref="I297:J297"/>
    <mergeCell ref="G288:H288"/>
    <mergeCell ref="I288:J288"/>
    <mergeCell ref="G289:H289"/>
    <mergeCell ref="I289:J289"/>
    <mergeCell ref="B290:H290"/>
    <mergeCell ref="I290:J290"/>
    <mergeCell ref="B291:E291"/>
    <mergeCell ref="I291:J291"/>
    <mergeCell ref="B292:H292"/>
    <mergeCell ref="I292:J292"/>
    <mergeCell ref="B281:J281"/>
    <mergeCell ref="G282:H282"/>
    <mergeCell ref="C283:J283"/>
    <mergeCell ref="E284:H284"/>
    <mergeCell ref="D285:J285"/>
    <mergeCell ref="G286:H286"/>
    <mergeCell ref="I286:J286"/>
    <mergeCell ref="G287:H287"/>
    <mergeCell ref="I287:J287"/>
    <mergeCell ref="B278:J279"/>
    <mergeCell ref="G273:H273"/>
    <mergeCell ref="I273:J273"/>
    <mergeCell ref="B274:H274"/>
    <mergeCell ref="I274:J274"/>
    <mergeCell ref="B275:H275"/>
    <mergeCell ref="I275:J275"/>
    <mergeCell ref="I276:J276"/>
    <mergeCell ref="B277:H277"/>
    <mergeCell ref="I277:J277"/>
    <mergeCell ref="B268:H268"/>
    <mergeCell ref="I268:J268"/>
    <mergeCell ref="D269:J269"/>
    <mergeCell ref="G270:H270"/>
    <mergeCell ref="I270:J270"/>
    <mergeCell ref="G271:H271"/>
    <mergeCell ref="I271:J271"/>
    <mergeCell ref="G272:H272"/>
    <mergeCell ref="I272:J272"/>
    <mergeCell ref="G263:H263"/>
    <mergeCell ref="I263:J263"/>
    <mergeCell ref="G264:H264"/>
    <mergeCell ref="I264:J264"/>
    <mergeCell ref="G265:H265"/>
    <mergeCell ref="I265:J265"/>
    <mergeCell ref="G266:H266"/>
    <mergeCell ref="I266:J266"/>
    <mergeCell ref="G267:H267"/>
    <mergeCell ref="I267:J267"/>
    <mergeCell ref="G258:H258"/>
    <mergeCell ref="I258:J258"/>
    <mergeCell ref="B259:H259"/>
    <mergeCell ref="I259:J259"/>
    <mergeCell ref="B260:E260"/>
    <mergeCell ref="I260:J260"/>
    <mergeCell ref="B261:H261"/>
    <mergeCell ref="I261:J261"/>
    <mergeCell ref="D262:J262"/>
    <mergeCell ref="G251:H251"/>
    <mergeCell ref="C252:J252"/>
    <mergeCell ref="E253:H253"/>
    <mergeCell ref="D254:J254"/>
    <mergeCell ref="G255:H255"/>
    <mergeCell ref="I255:J255"/>
    <mergeCell ref="G256:H256"/>
    <mergeCell ref="I256:J256"/>
    <mergeCell ref="G257:H257"/>
    <mergeCell ref="I257:J257"/>
    <mergeCell ref="B243:H243"/>
    <mergeCell ref="I243:J243"/>
    <mergeCell ref="B244:H244"/>
    <mergeCell ref="I244:J244"/>
    <mergeCell ref="I245:J245"/>
    <mergeCell ref="B246:H246"/>
    <mergeCell ref="I246:J246"/>
    <mergeCell ref="B247:J248"/>
    <mergeCell ref="B250:J250"/>
    <mergeCell ref="D238:J238"/>
    <mergeCell ref="G239:H239"/>
    <mergeCell ref="I239:J239"/>
    <mergeCell ref="G240:H240"/>
    <mergeCell ref="I240:J240"/>
    <mergeCell ref="G241:H241"/>
    <mergeCell ref="I241:J241"/>
    <mergeCell ref="G242:H242"/>
    <mergeCell ref="I242:J242"/>
    <mergeCell ref="G233:H233"/>
    <mergeCell ref="I233:J233"/>
    <mergeCell ref="G234:H234"/>
    <mergeCell ref="I234:J234"/>
    <mergeCell ref="G235:H235"/>
    <mergeCell ref="I235:J235"/>
    <mergeCell ref="G236:H236"/>
    <mergeCell ref="I236:J236"/>
    <mergeCell ref="B237:H237"/>
    <mergeCell ref="I237:J237"/>
    <mergeCell ref="B228:H228"/>
    <mergeCell ref="I228:J228"/>
    <mergeCell ref="B229:E229"/>
    <mergeCell ref="I229:J229"/>
    <mergeCell ref="B230:H230"/>
    <mergeCell ref="I230:J230"/>
    <mergeCell ref="D231:J231"/>
    <mergeCell ref="G232:H232"/>
    <mergeCell ref="I232:J232"/>
    <mergeCell ref="E222:H222"/>
    <mergeCell ref="D223:J223"/>
    <mergeCell ref="G224:H224"/>
    <mergeCell ref="I224:J224"/>
    <mergeCell ref="G225:H225"/>
    <mergeCell ref="I225:J225"/>
    <mergeCell ref="G226:H226"/>
    <mergeCell ref="I226:J226"/>
    <mergeCell ref="G227:H227"/>
    <mergeCell ref="I227:J227"/>
    <mergeCell ref="B213:H213"/>
    <mergeCell ref="I213:J213"/>
    <mergeCell ref="I214:J214"/>
    <mergeCell ref="B215:H215"/>
    <mergeCell ref="I215:J215"/>
    <mergeCell ref="B216:J217"/>
    <mergeCell ref="B219:J219"/>
    <mergeCell ref="G220:H220"/>
    <mergeCell ref="C221:J221"/>
    <mergeCell ref="G208:H208"/>
    <mergeCell ref="I208:J208"/>
    <mergeCell ref="G209:H209"/>
    <mergeCell ref="I209:J209"/>
    <mergeCell ref="G210:H210"/>
    <mergeCell ref="I210:J210"/>
    <mergeCell ref="G211:H211"/>
    <mergeCell ref="I211:J211"/>
    <mergeCell ref="B212:H212"/>
    <mergeCell ref="I212:J212"/>
    <mergeCell ref="G203:H203"/>
    <mergeCell ref="I203:J203"/>
    <mergeCell ref="G204:H204"/>
    <mergeCell ref="I204:J204"/>
    <mergeCell ref="G205:H205"/>
    <mergeCell ref="I205:J205"/>
    <mergeCell ref="B206:H206"/>
    <mergeCell ref="I206:J206"/>
    <mergeCell ref="D207:J207"/>
    <mergeCell ref="B198:E198"/>
    <mergeCell ref="I198:J198"/>
    <mergeCell ref="B199:H199"/>
    <mergeCell ref="I199:J199"/>
    <mergeCell ref="D200:J200"/>
    <mergeCell ref="G201:H201"/>
    <mergeCell ref="I201:J201"/>
    <mergeCell ref="G202:H202"/>
    <mergeCell ref="I202:J202"/>
    <mergeCell ref="G193:H193"/>
    <mergeCell ref="I193:J193"/>
    <mergeCell ref="G194:H194"/>
    <mergeCell ref="I194:J194"/>
    <mergeCell ref="G195:H195"/>
    <mergeCell ref="I195:J195"/>
    <mergeCell ref="G196:H196"/>
    <mergeCell ref="I196:J196"/>
    <mergeCell ref="B197:H197"/>
    <mergeCell ref="I197:J197"/>
    <mergeCell ref="I183:J183"/>
    <mergeCell ref="B184:H184"/>
    <mergeCell ref="I184:J184"/>
    <mergeCell ref="B185:J186"/>
    <mergeCell ref="B188:J188"/>
    <mergeCell ref="G189:H189"/>
    <mergeCell ref="C190:J190"/>
    <mergeCell ref="E191:H191"/>
    <mergeCell ref="D192:J192"/>
    <mergeCell ref="G178:H178"/>
    <mergeCell ref="I178:J178"/>
    <mergeCell ref="G179:H179"/>
    <mergeCell ref="I179:J179"/>
    <mergeCell ref="G180:H180"/>
    <mergeCell ref="I180:J180"/>
    <mergeCell ref="B181:H181"/>
    <mergeCell ref="I181:J181"/>
    <mergeCell ref="B182:H182"/>
    <mergeCell ref="I182:J182"/>
    <mergeCell ref="G173:H173"/>
    <mergeCell ref="I173:J173"/>
    <mergeCell ref="G174:H174"/>
    <mergeCell ref="I174:J174"/>
    <mergeCell ref="B175:H175"/>
    <mergeCell ref="I175:J175"/>
    <mergeCell ref="D176:J176"/>
    <mergeCell ref="G177:H177"/>
    <mergeCell ref="I177:J177"/>
    <mergeCell ref="B168:H168"/>
    <mergeCell ref="I168:J168"/>
    <mergeCell ref="D169:J169"/>
    <mergeCell ref="G170:H170"/>
    <mergeCell ref="I170:J170"/>
    <mergeCell ref="G171:H171"/>
    <mergeCell ref="I171:J171"/>
    <mergeCell ref="G172:H172"/>
    <mergeCell ref="I172:J172"/>
    <mergeCell ref="G165:H165"/>
    <mergeCell ref="I165:J165"/>
    <mergeCell ref="B166:H166"/>
    <mergeCell ref="I166:J166"/>
    <mergeCell ref="B167:E167"/>
    <mergeCell ref="I167:J167"/>
    <mergeCell ref="G158:H158"/>
    <mergeCell ref="C159:J159"/>
    <mergeCell ref="E160:H160"/>
    <mergeCell ref="D161:J161"/>
    <mergeCell ref="G162:H162"/>
    <mergeCell ref="I162:J162"/>
    <mergeCell ref="G163:H163"/>
    <mergeCell ref="I163:J163"/>
    <mergeCell ref="G164:H164"/>
    <mergeCell ref="I164:J164"/>
    <mergeCell ref="B150:H150"/>
    <mergeCell ref="I150:J150"/>
    <mergeCell ref="B151:H151"/>
    <mergeCell ref="I151:J151"/>
    <mergeCell ref="I152:J152"/>
    <mergeCell ref="B153:H153"/>
    <mergeCell ref="I153:J153"/>
    <mergeCell ref="B154:J155"/>
    <mergeCell ref="B157:J157"/>
    <mergeCell ref="D145:J145"/>
    <mergeCell ref="G146:H146"/>
    <mergeCell ref="I146:J146"/>
    <mergeCell ref="G147:H147"/>
    <mergeCell ref="I147:J147"/>
    <mergeCell ref="G148:H148"/>
    <mergeCell ref="I148:J148"/>
    <mergeCell ref="G149:H149"/>
    <mergeCell ref="I149:J149"/>
    <mergeCell ref="G141:H141"/>
    <mergeCell ref="I141:J141"/>
    <mergeCell ref="G142:H142"/>
    <mergeCell ref="I142:J142"/>
    <mergeCell ref="G143:H143"/>
    <mergeCell ref="I143:J143"/>
    <mergeCell ref="B144:H144"/>
    <mergeCell ref="I144:J144"/>
    <mergeCell ref="B136:H136"/>
    <mergeCell ref="I136:J136"/>
    <mergeCell ref="B137:E137"/>
    <mergeCell ref="I137:J137"/>
    <mergeCell ref="B138:H138"/>
    <mergeCell ref="I138:J138"/>
    <mergeCell ref="D139:J139"/>
    <mergeCell ref="G140:H140"/>
    <mergeCell ref="I140:J140"/>
    <mergeCell ref="G134:H134"/>
    <mergeCell ref="I134:J134"/>
    <mergeCell ref="G135:H135"/>
    <mergeCell ref="I135:J135"/>
    <mergeCell ref="B124:H124"/>
    <mergeCell ref="I124:J124"/>
    <mergeCell ref="B125:J126"/>
    <mergeCell ref="B128:J128"/>
    <mergeCell ref="G129:H129"/>
    <mergeCell ref="C130:J130"/>
    <mergeCell ref="E131:H131"/>
    <mergeCell ref="D132:J132"/>
    <mergeCell ref="G133:H133"/>
    <mergeCell ref="I133:J133"/>
    <mergeCell ref="G119:H119"/>
    <mergeCell ref="I119:J119"/>
    <mergeCell ref="G120:H120"/>
    <mergeCell ref="I120:J120"/>
    <mergeCell ref="B121:H121"/>
    <mergeCell ref="I121:J121"/>
    <mergeCell ref="B122:H122"/>
    <mergeCell ref="I122:J122"/>
    <mergeCell ref="I123:J123"/>
    <mergeCell ref="G114:H114"/>
    <mergeCell ref="I114:J114"/>
    <mergeCell ref="B115:H115"/>
    <mergeCell ref="I115:J115"/>
    <mergeCell ref="D116:J116"/>
    <mergeCell ref="G117:H117"/>
    <mergeCell ref="I117:J117"/>
    <mergeCell ref="G118:H118"/>
    <mergeCell ref="I118:J118"/>
    <mergeCell ref="D110:J110"/>
    <mergeCell ref="G111:H111"/>
    <mergeCell ref="I111:J111"/>
    <mergeCell ref="G112:H112"/>
    <mergeCell ref="I112:J112"/>
    <mergeCell ref="G113:H113"/>
    <mergeCell ref="I113:J113"/>
    <mergeCell ref="G106:H106"/>
    <mergeCell ref="I106:J106"/>
    <mergeCell ref="B107:H107"/>
    <mergeCell ref="I107:J107"/>
    <mergeCell ref="B108:E108"/>
    <mergeCell ref="I108:J108"/>
    <mergeCell ref="B109:H109"/>
    <mergeCell ref="I109:J109"/>
    <mergeCell ref="E102:H102"/>
    <mergeCell ref="D103:J103"/>
    <mergeCell ref="G104:H104"/>
    <mergeCell ref="I104:J104"/>
    <mergeCell ref="G105:H105"/>
    <mergeCell ref="I105:J105"/>
    <mergeCell ref="B93:H93"/>
    <mergeCell ref="I93:J93"/>
    <mergeCell ref="I94:J94"/>
    <mergeCell ref="B95:H95"/>
    <mergeCell ref="I95:J95"/>
    <mergeCell ref="B96:J97"/>
    <mergeCell ref="B99:J99"/>
    <mergeCell ref="G100:H100"/>
    <mergeCell ref="C101:J101"/>
    <mergeCell ref="G88:H88"/>
    <mergeCell ref="I88:J88"/>
    <mergeCell ref="G89:H89"/>
    <mergeCell ref="I89:J89"/>
    <mergeCell ref="G90:H90"/>
    <mergeCell ref="I90:J90"/>
    <mergeCell ref="G91:H91"/>
    <mergeCell ref="I91:J91"/>
    <mergeCell ref="B92:H92"/>
    <mergeCell ref="I92:J92"/>
    <mergeCell ref="G83:H83"/>
    <mergeCell ref="I83:J83"/>
    <mergeCell ref="G84:H84"/>
    <mergeCell ref="I84:J84"/>
    <mergeCell ref="G85:H85"/>
    <mergeCell ref="I85:J85"/>
    <mergeCell ref="B86:H86"/>
    <mergeCell ref="I86:J86"/>
    <mergeCell ref="D87:J87"/>
    <mergeCell ref="B78:E78"/>
    <mergeCell ref="I78:J78"/>
    <mergeCell ref="B79:H79"/>
    <mergeCell ref="I79:J79"/>
    <mergeCell ref="D80:J80"/>
    <mergeCell ref="G81:H81"/>
    <mergeCell ref="I81:J81"/>
    <mergeCell ref="G82:H82"/>
    <mergeCell ref="I82:J82"/>
    <mergeCell ref="G73:H73"/>
    <mergeCell ref="I73:J73"/>
    <mergeCell ref="G74:H74"/>
    <mergeCell ref="I74:J74"/>
    <mergeCell ref="G75:H75"/>
    <mergeCell ref="I75:J75"/>
    <mergeCell ref="G76:H76"/>
    <mergeCell ref="I76:J76"/>
    <mergeCell ref="B77:H77"/>
    <mergeCell ref="I77:J77"/>
    <mergeCell ref="B66:J66"/>
    <mergeCell ref="G67:H67"/>
    <mergeCell ref="C68:J68"/>
    <mergeCell ref="E69:H69"/>
    <mergeCell ref="D70:J70"/>
    <mergeCell ref="G71:H71"/>
    <mergeCell ref="I71:J71"/>
    <mergeCell ref="G72:H72"/>
    <mergeCell ref="I72:J72"/>
    <mergeCell ref="B2:J2"/>
    <mergeCell ref="D6:J6"/>
    <mergeCell ref="G25:H25"/>
    <mergeCell ref="I25:J25"/>
    <mergeCell ref="G7:H7"/>
    <mergeCell ref="I7:J7"/>
    <mergeCell ref="I12:J12"/>
    <mergeCell ref="B13:H13"/>
    <mergeCell ref="I13:J13"/>
    <mergeCell ref="D14:J14"/>
    <mergeCell ref="G15:H15"/>
    <mergeCell ref="I15:J15"/>
    <mergeCell ref="G8:H8"/>
    <mergeCell ref="I8:J8"/>
    <mergeCell ref="G9:H9"/>
    <mergeCell ref="I9:J9"/>
    <mergeCell ref="G17:H17"/>
    <mergeCell ref="G10:H10"/>
    <mergeCell ref="B12:E12"/>
    <mergeCell ref="I17:J17"/>
    <mergeCell ref="G19:H19"/>
    <mergeCell ref="I11:J11"/>
    <mergeCell ref="B33:J33"/>
    <mergeCell ref="G34:H34"/>
    <mergeCell ref="C35:J35"/>
    <mergeCell ref="G23:H23"/>
    <mergeCell ref="I23:J23"/>
    <mergeCell ref="G24:H24"/>
    <mergeCell ref="I24:J24"/>
    <mergeCell ref="G18:H18"/>
    <mergeCell ref="I18:J18"/>
    <mergeCell ref="E36:H36"/>
    <mergeCell ref="D37:J37"/>
    <mergeCell ref="C4:J4"/>
    <mergeCell ref="E5:H5"/>
    <mergeCell ref="G3:H3"/>
    <mergeCell ref="G16:H16"/>
    <mergeCell ref="I16:J16"/>
    <mergeCell ref="I28:J28"/>
    <mergeCell ref="B29:H29"/>
    <mergeCell ref="I29:J29"/>
    <mergeCell ref="B30:J31"/>
    <mergeCell ref="I19:J19"/>
    <mergeCell ref="B20:H20"/>
    <mergeCell ref="I20:J20"/>
    <mergeCell ref="D21:J21"/>
    <mergeCell ref="B26:H26"/>
    <mergeCell ref="I26:J26"/>
    <mergeCell ref="B27:H27"/>
    <mergeCell ref="I27:J27"/>
    <mergeCell ref="G22:H22"/>
    <mergeCell ref="I22:J22"/>
    <mergeCell ref="I10:J10"/>
    <mergeCell ref="B11:H11"/>
    <mergeCell ref="G38:H38"/>
    <mergeCell ref="I38:J38"/>
    <mergeCell ref="G39:H39"/>
    <mergeCell ref="I39:J39"/>
    <mergeCell ref="G40:H40"/>
    <mergeCell ref="I40:J40"/>
    <mergeCell ref="G55:H55"/>
    <mergeCell ref="I55:J55"/>
    <mergeCell ref="G56:H56"/>
    <mergeCell ref="I56:J56"/>
    <mergeCell ref="G41:H41"/>
    <mergeCell ref="I41:J41"/>
    <mergeCell ref="G42:H42"/>
    <mergeCell ref="I42:J42"/>
    <mergeCell ref="G49:H49"/>
    <mergeCell ref="I49:J49"/>
    <mergeCell ref="G50:H50"/>
    <mergeCell ref="I50:J50"/>
    <mergeCell ref="B46:H46"/>
    <mergeCell ref="I46:J46"/>
    <mergeCell ref="D47:J47"/>
    <mergeCell ref="G48:H48"/>
    <mergeCell ref="I48:J48"/>
    <mergeCell ref="G43:H43"/>
    <mergeCell ref="I43:J43"/>
    <mergeCell ref="B44:H44"/>
    <mergeCell ref="I44:J44"/>
    <mergeCell ref="B45:E45"/>
    <mergeCell ref="I45:J45"/>
    <mergeCell ref="B63:J64"/>
    <mergeCell ref="G58:H58"/>
    <mergeCell ref="I58:J58"/>
    <mergeCell ref="B59:H59"/>
    <mergeCell ref="I59:J59"/>
    <mergeCell ref="B60:H60"/>
    <mergeCell ref="I60:J60"/>
    <mergeCell ref="G51:H51"/>
    <mergeCell ref="I51:J51"/>
    <mergeCell ref="G57:H57"/>
    <mergeCell ref="I57:J57"/>
    <mergeCell ref="G52:H52"/>
    <mergeCell ref="I52:J52"/>
    <mergeCell ref="B53:H53"/>
    <mergeCell ref="I53:J53"/>
    <mergeCell ref="D54:J54"/>
    <mergeCell ref="I61:J61"/>
    <mergeCell ref="B62:H62"/>
    <mergeCell ref="I62:J62"/>
    <mergeCell ref="B1040:J1040"/>
    <mergeCell ref="G1041:H1041"/>
    <mergeCell ref="C1042:J1042"/>
    <mergeCell ref="E1043:H1043"/>
    <mergeCell ref="D1044:J1044"/>
    <mergeCell ref="G1045:H1045"/>
    <mergeCell ref="I1045:J1045"/>
    <mergeCell ref="G1046:H1046"/>
    <mergeCell ref="I1046:J1046"/>
    <mergeCell ref="G1047:H1047"/>
    <mergeCell ref="I1047:J1047"/>
    <mergeCell ref="G1048:H1048"/>
    <mergeCell ref="I1048:J1048"/>
    <mergeCell ref="B1049:H1049"/>
    <mergeCell ref="I1049:J1049"/>
    <mergeCell ref="B1050:E1050"/>
    <mergeCell ref="I1050:J1050"/>
    <mergeCell ref="B1051:H1051"/>
    <mergeCell ref="I1051:J1051"/>
    <mergeCell ref="D1052:J1052"/>
    <mergeCell ref="G1053:H1053"/>
    <mergeCell ref="I1053:J1053"/>
    <mergeCell ref="G1054:H1054"/>
    <mergeCell ref="I1054:J1054"/>
    <mergeCell ref="G1055:H1055"/>
    <mergeCell ref="I1055:J1055"/>
    <mergeCell ref="G1056:H1056"/>
    <mergeCell ref="I1056:J1056"/>
    <mergeCell ref="G1057:H1057"/>
    <mergeCell ref="I1057:J1057"/>
    <mergeCell ref="G1058:H1058"/>
    <mergeCell ref="I1058:J1058"/>
    <mergeCell ref="G1059:H1059"/>
    <mergeCell ref="I1059:J1059"/>
    <mergeCell ref="B1069:H1069"/>
    <mergeCell ref="I1069:J1069"/>
    <mergeCell ref="B1070:H1070"/>
    <mergeCell ref="I1070:J1070"/>
    <mergeCell ref="I1071:J1071"/>
    <mergeCell ref="B1072:H1072"/>
    <mergeCell ref="I1072:J1072"/>
    <mergeCell ref="B1073:J1074"/>
    <mergeCell ref="G1060:H1060"/>
    <mergeCell ref="I1060:J1060"/>
    <mergeCell ref="G1061:H1061"/>
    <mergeCell ref="I1061:J1061"/>
    <mergeCell ref="G1062:H1062"/>
    <mergeCell ref="I1062:J1062"/>
    <mergeCell ref="B1063:H1063"/>
    <mergeCell ref="I1063:J1063"/>
    <mergeCell ref="D1064:J1064"/>
    <mergeCell ref="G1065:H1065"/>
    <mergeCell ref="I1065:J1065"/>
    <mergeCell ref="G1066:H1066"/>
    <mergeCell ref="I1066:J1066"/>
    <mergeCell ref="G1067:H1067"/>
    <mergeCell ref="I1067:J1067"/>
    <mergeCell ref="G1068:H1068"/>
    <mergeCell ref="I1068:J1068"/>
    <mergeCell ref="B1112:J1112"/>
    <mergeCell ref="G1113:H1113"/>
    <mergeCell ref="C1114:J1114"/>
    <mergeCell ref="E1115:H1115"/>
    <mergeCell ref="D1116:J1116"/>
    <mergeCell ref="G1117:H1117"/>
    <mergeCell ref="I1117:J1117"/>
    <mergeCell ref="G1118:H1118"/>
    <mergeCell ref="I1118:J1118"/>
    <mergeCell ref="G1119:H1119"/>
    <mergeCell ref="I1119:J1119"/>
    <mergeCell ref="G1120:H1120"/>
    <mergeCell ref="I1120:J1120"/>
    <mergeCell ref="B1121:H1121"/>
    <mergeCell ref="I1121:J1121"/>
    <mergeCell ref="B1122:E1122"/>
    <mergeCell ref="I1122:J1122"/>
    <mergeCell ref="B1123:H1123"/>
    <mergeCell ref="I1123:J1123"/>
    <mergeCell ref="D1124:J1124"/>
    <mergeCell ref="G1125:H1125"/>
    <mergeCell ref="I1125:J1125"/>
    <mergeCell ref="G1126:H1126"/>
    <mergeCell ref="I1126:J1126"/>
    <mergeCell ref="G1127:H1127"/>
    <mergeCell ref="I1127:J1127"/>
    <mergeCell ref="G1128:H1128"/>
    <mergeCell ref="I1128:J1128"/>
    <mergeCell ref="G1129:H1129"/>
    <mergeCell ref="I1129:J1129"/>
    <mergeCell ref="G1130:H1130"/>
    <mergeCell ref="I1130:J1130"/>
    <mergeCell ref="G1131:H1131"/>
    <mergeCell ref="I1131:J1131"/>
    <mergeCell ref="G1132:H1132"/>
    <mergeCell ref="I1132:J1132"/>
    <mergeCell ref="G1133:H1133"/>
    <mergeCell ref="I1133:J1133"/>
    <mergeCell ref="G1134:H1134"/>
    <mergeCell ref="I1134:J1134"/>
    <mergeCell ref="B1135:H1135"/>
    <mergeCell ref="I1135:J1135"/>
    <mergeCell ref="D1136:J1136"/>
    <mergeCell ref="G1137:H1137"/>
    <mergeCell ref="I1137:J1137"/>
    <mergeCell ref="G1138:H1138"/>
    <mergeCell ref="I1138:J1138"/>
    <mergeCell ref="G1139:H1139"/>
    <mergeCell ref="I1139:J1139"/>
    <mergeCell ref="G1140:H1140"/>
    <mergeCell ref="I1140:J1140"/>
    <mergeCell ref="B1141:H1141"/>
    <mergeCell ref="I1141:J1141"/>
    <mergeCell ref="B1142:H1142"/>
    <mergeCell ref="I1142:J1142"/>
    <mergeCell ref="I1143:J1143"/>
    <mergeCell ref="B1144:H1144"/>
    <mergeCell ref="I1144:J1144"/>
    <mergeCell ref="B1145:J1146"/>
    <mergeCell ref="B1148:J1148"/>
    <mergeCell ref="G1149:H1149"/>
    <mergeCell ref="C1150:J1150"/>
    <mergeCell ref="E1151:H1151"/>
    <mergeCell ref="D1152:J1152"/>
    <mergeCell ref="G1153:H1153"/>
    <mergeCell ref="I1153:J1153"/>
    <mergeCell ref="G1154:H1154"/>
    <mergeCell ref="I1154:J1154"/>
    <mergeCell ref="G1155:H1155"/>
    <mergeCell ref="I1155:J1155"/>
    <mergeCell ref="G1156:H1156"/>
    <mergeCell ref="I1156:J1156"/>
    <mergeCell ref="B1157:H1157"/>
    <mergeCell ref="I1157:J1157"/>
    <mergeCell ref="B1158:E1158"/>
    <mergeCell ref="I1158:J1158"/>
    <mergeCell ref="B1159:H1159"/>
    <mergeCell ref="I1159:J1159"/>
    <mergeCell ref="D1160:J1160"/>
    <mergeCell ref="G1161:H1161"/>
    <mergeCell ref="I1161:J1161"/>
    <mergeCell ref="G1162:H1162"/>
    <mergeCell ref="I1162:J1162"/>
    <mergeCell ref="G1163:H1163"/>
    <mergeCell ref="I1163:J1163"/>
    <mergeCell ref="G1164:H1164"/>
    <mergeCell ref="I1164:J1164"/>
    <mergeCell ref="G1165:H1165"/>
    <mergeCell ref="I1165:J1165"/>
    <mergeCell ref="G1166:H1166"/>
    <mergeCell ref="I1166:J1166"/>
    <mergeCell ref="G1167:H1167"/>
    <mergeCell ref="I1167:J1167"/>
    <mergeCell ref="G1168:H1168"/>
    <mergeCell ref="I1168:J1168"/>
    <mergeCell ref="G1169:H1169"/>
    <mergeCell ref="I1169:J1169"/>
    <mergeCell ref="G1170:H1170"/>
    <mergeCell ref="I1170:J1170"/>
    <mergeCell ref="B1171:H1171"/>
    <mergeCell ref="I1171:J1171"/>
    <mergeCell ref="D1172:J1172"/>
    <mergeCell ref="G1173:H1173"/>
    <mergeCell ref="I1173:J1173"/>
    <mergeCell ref="G1174:H1174"/>
    <mergeCell ref="I1174:J1174"/>
    <mergeCell ref="G1175:H1175"/>
    <mergeCell ref="I1175:J1175"/>
    <mergeCell ref="G1176:H1176"/>
    <mergeCell ref="I1176:J1176"/>
    <mergeCell ref="B1177:H1177"/>
    <mergeCell ref="I1177:J1177"/>
    <mergeCell ref="B1178:H1178"/>
    <mergeCell ref="I1178:J1178"/>
    <mergeCell ref="I1179:J1179"/>
    <mergeCell ref="B1180:H1180"/>
    <mergeCell ref="I1180:J1180"/>
    <mergeCell ref="B1181:J1182"/>
    <mergeCell ref="B1184:J1184"/>
    <mergeCell ref="G1185:H1185"/>
    <mergeCell ref="C1186:J1186"/>
    <mergeCell ref="E1187:H1187"/>
    <mergeCell ref="D1188:J1188"/>
    <mergeCell ref="G1189:H1189"/>
    <mergeCell ref="I1189:J1189"/>
    <mergeCell ref="G1190:H1190"/>
    <mergeCell ref="I1190:J1190"/>
    <mergeCell ref="G1191:H1191"/>
    <mergeCell ref="I1191:J1191"/>
    <mergeCell ref="G1192:H1192"/>
    <mergeCell ref="I1192:J1192"/>
    <mergeCell ref="B1193:H1193"/>
    <mergeCell ref="I1193:J1193"/>
    <mergeCell ref="B1194:E1194"/>
    <mergeCell ref="I1194:J1194"/>
    <mergeCell ref="B1195:H1195"/>
    <mergeCell ref="I1195:J1195"/>
    <mergeCell ref="D1196:J1196"/>
    <mergeCell ref="G1197:H1197"/>
    <mergeCell ref="I1197:J1197"/>
    <mergeCell ref="G1198:H1198"/>
    <mergeCell ref="I1198:J1198"/>
    <mergeCell ref="G1199:H1199"/>
    <mergeCell ref="I1199:J1199"/>
    <mergeCell ref="G1200:H1200"/>
    <mergeCell ref="I1200:J1200"/>
    <mergeCell ref="G1201:H1201"/>
    <mergeCell ref="I1201:J1201"/>
    <mergeCell ref="G1202:H1202"/>
    <mergeCell ref="I1202:J1202"/>
    <mergeCell ref="G1203:H1203"/>
    <mergeCell ref="I1203:J1203"/>
    <mergeCell ref="G1204:H1204"/>
    <mergeCell ref="I1204:J1204"/>
    <mergeCell ref="G1205:H1205"/>
    <mergeCell ref="I1205:J1205"/>
    <mergeCell ref="G1206:H1206"/>
    <mergeCell ref="I1206:J1206"/>
    <mergeCell ref="B1207:H1207"/>
    <mergeCell ref="I1207:J1207"/>
    <mergeCell ref="D1208:J1208"/>
    <mergeCell ref="G1209:H1209"/>
    <mergeCell ref="I1209:J1209"/>
    <mergeCell ref="G1210:H1210"/>
    <mergeCell ref="I1210:J1210"/>
    <mergeCell ref="G1211:H1211"/>
    <mergeCell ref="I1211:J1211"/>
    <mergeCell ref="G1212:H1212"/>
    <mergeCell ref="I1212:J1212"/>
    <mergeCell ref="B1213:H1213"/>
    <mergeCell ref="I1213:J1213"/>
    <mergeCell ref="B1214:H1214"/>
    <mergeCell ref="I1214:J1214"/>
    <mergeCell ref="I1215:J1215"/>
    <mergeCell ref="B1216:H1216"/>
    <mergeCell ref="I1216:J1216"/>
    <mergeCell ref="B1217:J1218"/>
    <mergeCell ref="B1220:J1220"/>
    <mergeCell ref="G1221:H1221"/>
    <mergeCell ref="C1222:J1222"/>
    <mergeCell ref="E1223:H1223"/>
    <mergeCell ref="D1224:J1224"/>
    <mergeCell ref="G1225:H1225"/>
    <mergeCell ref="I1225:J1225"/>
    <mergeCell ref="G1226:H1226"/>
    <mergeCell ref="I1226:J1226"/>
    <mergeCell ref="G1227:H1227"/>
    <mergeCell ref="I1227:J1227"/>
    <mergeCell ref="G1228:H1228"/>
    <mergeCell ref="I1228:J1228"/>
    <mergeCell ref="B1229:H1229"/>
    <mergeCell ref="I1229:J1229"/>
    <mergeCell ref="B1230:E1230"/>
    <mergeCell ref="I1230:J1230"/>
    <mergeCell ref="B1231:H1231"/>
    <mergeCell ref="I1231:J1231"/>
    <mergeCell ref="D1232:J1232"/>
    <mergeCell ref="G1233:H1233"/>
    <mergeCell ref="I1233:J1233"/>
    <mergeCell ref="G1234:H1234"/>
    <mergeCell ref="I1234:J1234"/>
    <mergeCell ref="G1235:H1235"/>
    <mergeCell ref="I1235:J1235"/>
    <mergeCell ref="G1236:H1236"/>
    <mergeCell ref="I1236:J1236"/>
    <mergeCell ref="G1246:H1246"/>
    <mergeCell ref="I1246:J1246"/>
    <mergeCell ref="G1247:H1247"/>
    <mergeCell ref="I1247:J1247"/>
    <mergeCell ref="G1248:H1248"/>
    <mergeCell ref="I1248:J1248"/>
    <mergeCell ref="B1249:H1249"/>
    <mergeCell ref="I1249:J1249"/>
    <mergeCell ref="B1250:H1250"/>
    <mergeCell ref="I1250:J1250"/>
    <mergeCell ref="I1251:J1251"/>
    <mergeCell ref="B1252:H1252"/>
    <mergeCell ref="I1252:J1252"/>
    <mergeCell ref="B1253:J1254"/>
    <mergeCell ref="G1237:H1237"/>
    <mergeCell ref="I1237:J1237"/>
    <mergeCell ref="G1238:H1238"/>
    <mergeCell ref="I1238:J1238"/>
    <mergeCell ref="G1239:H1239"/>
    <mergeCell ref="I1239:J1239"/>
    <mergeCell ref="G1240:H1240"/>
    <mergeCell ref="I1240:J1240"/>
    <mergeCell ref="G1241:H1241"/>
    <mergeCell ref="I1241:J1241"/>
    <mergeCell ref="G1242:H1242"/>
    <mergeCell ref="I1242:J1242"/>
    <mergeCell ref="B1243:H1243"/>
    <mergeCell ref="I1243:J1243"/>
    <mergeCell ref="D1244:J1244"/>
    <mergeCell ref="G1245:H1245"/>
    <mergeCell ref="I1245:J1245"/>
  </mergeCells>
  <phoneticPr fontId="9" type="noConversion"/>
  <printOptions horizontalCentered="1" verticalCentered="1"/>
  <pageMargins left="0.39370078740157483" right="0.15748031496062992" top="1.0629921259842521" bottom="0.82677165354330706" header="0.51181102362204722" footer="0.39370078740157483"/>
  <pageSetup paperSize="9" scale="19" fitToWidth="0" fitToHeight="0" orientation="landscape" r:id="rId1"/>
  <headerFooter alignWithMargins="0">
    <oddFooter>&amp;L&amp;8&amp;F&amp;R&amp;P/&amp;N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W694"/>
  <sheetViews>
    <sheetView view="pageBreakPreview" zoomScale="70" zoomScaleNormal="85" zoomScaleSheetLayoutView="70" workbookViewId="0">
      <pane ySplit="6" topLeftCell="A12" activePane="bottomLeft" state="frozen"/>
      <selection pane="bottomLeft" activeCell="A678" sqref="A678"/>
    </sheetView>
  </sheetViews>
  <sheetFormatPr defaultRowHeight="15" x14ac:dyDescent="0.2"/>
  <cols>
    <col min="1" max="1" width="3" style="83" customWidth="1"/>
    <col min="2" max="2" width="11" style="83" customWidth="1"/>
    <col min="3" max="3" width="14.7109375" style="17" customWidth="1"/>
    <col min="4" max="4" width="16.85546875" style="17" customWidth="1"/>
    <col min="5" max="5" width="42.85546875" style="17" customWidth="1"/>
    <col min="6" max="6" width="19.7109375" style="17" customWidth="1"/>
    <col min="7" max="7" width="7" style="17" customWidth="1"/>
    <col min="8" max="8" width="6.85546875" style="17" customWidth="1"/>
    <col min="9" max="9" width="14.7109375" style="17" customWidth="1"/>
    <col min="10" max="10" width="15.85546875" style="17" customWidth="1"/>
    <col min="11" max="14" width="14.5703125" style="17" customWidth="1"/>
    <col min="15" max="15" width="2.140625" style="17" customWidth="1"/>
    <col min="16" max="18" width="14.5703125" style="17" customWidth="1"/>
    <col min="19" max="19" width="18.140625" style="18" customWidth="1"/>
    <col min="20" max="20" width="9.140625" style="17"/>
    <col min="21" max="21" width="20.5703125" style="17" bestFit="1" customWidth="1"/>
    <col min="22" max="23" width="12.42578125" style="17" bestFit="1" customWidth="1"/>
    <col min="24" max="257" width="9.140625" style="17"/>
    <col min="258" max="258" width="0.85546875" style="17" customWidth="1"/>
    <col min="259" max="259" width="14.7109375" style="17" customWidth="1"/>
    <col min="260" max="260" width="16.85546875" style="17" customWidth="1"/>
    <col min="261" max="261" width="42.85546875" style="17" customWidth="1"/>
    <col min="262" max="262" width="14.7109375" style="17" customWidth="1"/>
    <col min="263" max="263" width="7" style="17" customWidth="1"/>
    <col min="264" max="264" width="6.85546875" style="17" customWidth="1"/>
    <col min="265" max="265" width="14.7109375" style="17" customWidth="1"/>
    <col min="266" max="270" width="14.5703125" style="17" customWidth="1"/>
    <col min="271" max="271" width="0.5703125" style="17" customWidth="1"/>
    <col min="272" max="513" width="9.140625" style="17"/>
    <col min="514" max="514" width="0.85546875" style="17" customWidth="1"/>
    <col min="515" max="515" width="14.7109375" style="17" customWidth="1"/>
    <col min="516" max="516" width="16.85546875" style="17" customWidth="1"/>
    <col min="517" max="517" width="42.85546875" style="17" customWidth="1"/>
    <col min="518" max="518" width="14.7109375" style="17" customWidth="1"/>
    <col min="519" max="519" width="7" style="17" customWidth="1"/>
    <col min="520" max="520" width="6.85546875" style="17" customWidth="1"/>
    <col min="521" max="521" width="14.7109375" style="17" customWidth="1"/>
    <col min="522" max="526" width="14.5703125" style="17" customWidth="1"/>
    <col min="527" max="527" width="0.5703125" style="17" customWidth="1"/>
    <col min="528" max="769" width="9.140625" style="17"/>
    <col min="770" max="770" width="0.85546875" style="17" customWidth="1"/>
    <col min="771" max="771" width="14.7109375" style="17" customWidth="1"/>
    <col min="772" max="772" width="16.85546875" style="17" customWidth="1"/>
    <col min="773" max="773" width="42.85546875" style="17" customWidth="1"/>
    <col min="774" max="774" width="14.7109375" style="17" customWidth="1"/>
    <col min="775" max="775" width="7" style="17" customWidth="1"/>
    <col min="776" max="776" width="6.85546875" style="17" customWidth="1"/>
    <col min="777" max="777" width="14.7109375" style="17" customWidth="1"/>
    <col min="778" max="782" width="14.5703125" style="17" customWidth="1"/>
    <col min="783" max="783" width="0.5703125" style="17" customWidth="1"/>
    <col min="784" max="1025" width="9.140625" style="17"/>
    <col min="1026" max="1026" width="0.85546875" style="17" customWidth="1"/>
    <col min="1027" max="1027" width="14.7109375" style="17" customWidth="1"/>
    <col min="1028" max="1028" width="16.85546875" style="17" customWidth="1"/>
    <col min="1029" max="1029" width="42.85546875" style="17" customWidth="1"/>
    <col min="1030" max="1030" width="14.7109375" style="17" customWidth="1"/>
    <col min="1031" max="1031" width="7" style="17" customWidth="1"/>
    <col min="1032" max="1032" width="6.85546875" style="17" customWidth="1"/>
    <col min="1033" max="1033" width="14.7109375" style="17" customWidth="1"/>
    <col min="1034" max="1038" width="14.5703125" style="17" customWidth="1"/>
    <col min="1039" max="1039" width="0.5703125" style="17" customWidth="1"/>
    <col min="1040" max="1281" width="9.140625" style="17"/>
    <col min="1282" max="1282" width="0.85546875" style="17" customWidth="1"/>
    <col min="1283" max="1283" width="14.7109375" style="17" customWidth="1"/>
    <col min="1284" max="1284" width="16.85546875" style="17" customWidth="1"/>
    <col min="1285" max="1285" width="42.85546875" style="17" customWidth="1"/>
    <col min="1286" max="1286" width="14.7109375" style="17" customWidth="1"/>
    <col min="1287" max="1287" width="7" style="17" customWidth="1"/>
    <col min="1288" max="1288" width="6.85546875" style="17" customWidth="1"/>
    <col min="1289" max="1289" width="14.7109375" style="17" customWidth="1"/>
    <col min="1290" max="1294" width="14.5703125" style="17" customWidth="1"/>
    <col min="1295" max="1295" width="0.5703125" style="17" customWidth="1"/>
    <col min="1296" max="1537" width="9.140625" style="17"/>
    <col min="1538" max="1538" width="0.85546875" style="17" customWidth="1"/>
    <col min="1539" max="1539" width="14.7109375" style="17" customWidth="1"/>
    <col min="1540" max="1540" width="16.85546875" style="17" customWidth="1"/>
    <col min="1541" max="1541" width="42.85546875" style="17" customWidth="1"/>
    <col min="1542" max="1542" width="14.7109375" style="17" customWidth="1"/>
    <col min="1543" max="1543" width="7" style="17" customWidth="1"/>
    <col min="1544" max="1544" width="6.85546875" style="17" customWidth="1"/>
    <col min="1545" max="1545" width="14.7109375" style="17" customWidth="1"/>
    <col min="1546" max="1550" width="14.5703125" style="17" customWidth="1"/>
    <col min="1551" max="1551" width="0.5703125" style="17" customWidth="1"/>
    <col min="1552" max="1793" width="9.140625" style="17"/>
    <col min="1794" max="1794" width="0.85546875" style="17" customWidth="1"/>
    <col min="1795" max="1795" width="14.7109375" style="17" customWidth="1"/>
    <col min="1796" max="1796" width="16.85546875" style="17" customWidth="1"/>
    <col min="1797" max="1797" width="42.85546875" style="17" customWidth="1"/>
    <col min="1798" max="1798" width="14.7109375" style="17" customWidth="1"/>
    <col min="1799" max="1799" width="7" style="17" customWidth="1"/>
    <col min="1800" max="1800" width="6.85546875" style="17" customWidth="1"/>
    <col min="1801" max="1801" width="14.7109375" style="17" customWidth="1"/>
    <col min="1802" max="1806" width="14.5703125" style="17" customWidth="1"/>
    <col min="1807" max="1807" width="0.5703125" style="17" customWidth="1"/>
    <col min="1808" max="2049" width="9.140625" style="17"/>
    <col min="2050" max="2050" width="0.85546875" style="17" customWidth="1"/>
    <col min="2051" max="2051" width="14.7109375" style="17" customWidth="1"/>
    <col min="2052" max="2052" width="16.85546875" style="17" customWidth="1"/>
    <col min="2053" max="2053" width="42.85546875" style="17" customWidth="1"/>
    <col min="2054" max="2054" width="14.7109375" style="17" customWidth="1"/>
    <col min="2055" max="2055" width="7" style="17" customWidth="1"/>
    <col min="2056" max="2056" width="6.85546875" style="17" customWidth="1"/>
    <col min="2057" max="2057" width="14.7109375" style="17" customWidth="1"/>
    <col min="2058" max="2062" width="14.5703125" style="17" customWidth="1"/>
    <col min="2063" max="2063" width="0.5703125" style="17" customWidth="1"/>
    <col min="2064" max="2305" width="9.140625" style="17"/>
    <col min="2306" max="2306" width="0.85546875" style="17" customWidth="1"/>
    <col min="2307" max="2307" width="14.7109375" style="17" customWidth="1"/>
    <col min="2308" max="2308" width="16.85546875" style="17" customWidth="1"/>
    <col min="2309" max="2309" width="42.85546875" style="17" customWidth="1"/>
    <col min="2310" max="2310" width="14.7109375" style="17" customWidth="1"/>
    <col min="2311" max="2311" width="7" style="17" customWidth="1"/>
    <col min="2312" max="2312" width="6.85546875" style="17" customWidth="1"/>
    <col min="2313" max="2313" width="14.7109375" style="17" customWidth="1"/>
    <col min="2314" max="2318" width="14.5703125" style="17" customWidth="1"/>
    <col min="2319" max="2319" width="0.5703125" style="17" customWidth="1"/>
    <col min="2320" max="2561" width="9.140625" style="17"/>
    <col min="2562" max="2562" width="0.85546875" style="17" customWidth="1"/>
    <col min="2563" max="2563" width="14.7109375" style="17" customWidth="1"/>
    <col min="2564" max="2564" width="16.85546875" style="17" customWidth="1"/>
    <col min="2565" max="2565" width="42.85546875" style="17" customWidth="1"/>
    <col min="2566" max="2566" width="14.7109375" style="17" customWidth="1"/>
    <col min="2567" max="2567" width="7" style="17" customWidth="1"/>
    <col min="2568" max="2568" width="6.85546875" style="17" customWidth="1"/>
    <col min="2569" max="2569" width="14.7109375" style="17" customWidth="1"/>
    <col min="2570" max="2574" width="14.5703125" style="17" customWidth="1"/>
    <col min="2575" max="2575" width="0.5703125" style="17" customWidth="1"/>
    <col min="2576" max="2817" width="9.140625" style="17"/>
    <col min="2818" max="2818" width="0.85546875" style="17" customWidth="1"/>
    <col min="2819" max="2819" width="14.7109375" style="17" customWidth="1"/>
    <col min="2820" max="2820" width="16.85546875" style="17" customWidth="1"/>
    <col min="2821" max="2821" width="42.85546875" style="17" customWidth="1"/>
    <col min="2822" max="2822" width="14.7109375" style="17" customWidth="1"/>
    <col min="2823" max="2823" width="7" style="17" customWidth="1"/>
    <col min="2824" max="2824" width="6.85546875" style="17" customWidth="1"/>
    <col min="2825" max="2825" width="14.7109375" style="17" customWidth="1"/>
    <col min="2826" max="2830" width="14.5703125" style="17" customWidth="1"/>
    <col min="2831" max="2831" width="0.5703125" style="17" customWidth="1"/>
    <col min="2832" max="3073" width="9.140625" style="17"/>
    <col min="3074" max="3074" width="0.85546875" style="17" customWidth="1"/>
    <col min="3075" max="3075" width="14.7109375" style="17" customWidth="1"/>
    <col min="3076" max="3076" width="16.85546875" style="17" customWidth="1"/>
    <col min="3077" max="3077" width="42.85546875" style="17" customWidth="1"/>
    <col min="3078" max="3078" width="14.7109375" style="17" customWidth="1"/>
    <col min="3079" max="3079" width="7" style="17" customWidth="1"/>
    <col min="3080" max="3080" width="6.85546875" style="17" customWidth="1"/>
    <col min="3081" max="3081" width="14.7109375" style="17" customWidth="1"/>
    <col min="3082" max="3086" width="14.5703125" style="17" customWidth="1"/>
    <col min="3087" max="3087" width="0.5703125" style="17" customWidth="1"/>
    <col min="3088" max="3329" width="9.140625" style="17"/>
    <col min="3330" max="3330" width="0.85546875" style="17" customWidth="1"/>
    <col min="3331" max="3331" width="14.7109375" style="17" customWidth="1"/>
    <col min="3332" max="3332" width="16.85546875" style="17" customWidth="1"/>
    <col min="3333" max="3333" width="42.85546875" style="17" customWidth="1"/>
    <col min="3334" max="3334" width="14.7109375" style="17" customWidth="1"/>
    <col min="3335" max="3335" width="7" style="17" customWidth="1"/>
    <col min="3336" max="3336" width="6.85546875" style="17" customWidth="1"/>
    <col min="3337" max="3337" width="14.7109375" style="17" customWidth="1"/>
    <col min="3338" max="3342" width="14.5703125" style="17" customWidth="1"/>
    <col min="3343" max="3343" width="0.5703125" style="17" customWidth="1"/>
    <col min="3344" max="3585" width="9.140625" style="17"/>
    <col min="3586" max="3586" width="0.85546875" style="17" customWidth="1"/>
    <col min="3587" max="3587" width="14.7109375" style="17" customWidth="1"/>
    <col min="3588" max="3588" width="16.85546875" style="17" customWidth="1"/>
    <col min="3589" max="3589" width="42.85546875" style="17" customWidth="1"/>
    <col min="3590" max="3590" width="14.7109375" style="17" customWidth="1"/>
    <col min="3591" max="3591" width="7" style="17" customWidth="1"/>
    <col min="3592" max="3592" width="6.85546875" style="17" customWidth="1"/>
    <col min="3593" max="3593" width="14.7109375" style="17" customWidth="1"/>
    <col min="3594" max="3598" width="14.5703125" style="17" customWidth="1"/>
    <col min="3599" max="3599" width="0.5703125" style="17" customWidth="1"/>
    <col min="3600" max="3841" width="9.140625" style="17"/>
    <col min="3842" max="3842" width="0.85546875" style="17" customWidth="1"/>
    <col min="3843" max="3843" width="14.7109375" style="17" customWidth="1"/>
    <col min="3844" max="3844" width="16.85546875" style="17" customWidth="1"/>
    <col min="3845" max="3845" width="42.85546875" style="17" customWidth="1"/>
    <col min="3846" max="3846" width="14.7109375" style="17" customWidth="1"/>
    <col min="3847" max="3847" width="7" style="17" customWidth="1"/>
    <col min="3848" max="3848" width="6.85546875" style="17" customWidth="1"/>
    <col min="3849" max="3849" width="14.7109375" style="17" customWidth="1"/>
    <col min="3850" max="3854" width="14.5703125" style="17" customWidth="1"/>
    <col min="3855" max="3855" width="0.5703125" style="17" customWidth="1"/>
    <col min="3856" max="4097" width="9.140625" style="17"/>
    <col min="4098" max="4098" width="0.85546875" style="17" customWidth="1"/>
    <col min="4099" max="4099" width="14.7109375" style="17" customWidth="1"/>
    <col min="4100" max="4100" width="16.85546875" style="17" customWidth="1"/>
    <col min="4101" max="4101" width="42.85546875" style="17" customWidth="1"/>
    <col min="4102" max="4102" width="14.7109375" style="17" customWidth="1"/>
    <col min="4103" max="4103" width="7" style="17" customWidth="1"/>
    <col min="4104" max="4104" width="6.85546875" style="17" customWidth="1"/>
    <col min="4105" max="4105" width="14.7109375" style="17" customWidth="1"/>
    <col min="4106" max="4110" width="14.5703125" style="17" customWidth="1"/>
    <col min="4111" max="4111" width="0.5703125" style="17" customWidth="1"/>
    <col min="4112" max="4353" width="9.140625" style="17"/>
    <col min="4354" max="4354" width="0.85546875" style="17" customWidth="1"/>
    <col min="4355" max="4355" width="14.7109375" style="17" customWidth="1"/>
    <col min="4356" max="4356" width="16.85546875" style="17" customWidth="1"/>
    <col min="4357" max="4357" width="42.85546875" style="17" customWidth="1"/>
    <col min="4358" max="4358" width="14.7109375" style="17" customWidth="1"/>
    <col min="4359" max="4359" width="7" style="17" customWidth="1"/>
    <col min="4360" max="4360" width="6.85546875" style="17" customWidth="1"/>
    <col min="4361" max="4361" width="14.7109375" style="17" customWidth="1"/>
    <col min="4362" max="4366" width="14.5703125" style="17" customWidth="1"/>
    <col min="4367" max="4367" width="0.5703125" style="17" customWidth="1"/>
    <col min="4368" max="4609" width="9.140625" style="17"/>
    <col min="4610" max="4610" width="0.85546875" style="17" customWidth="1"/>
    <col min="4611" max="4611" width="14.7109375" style="17" customWidth="1"/>
    <col min="4612" max="4612" width="16.85546875" style="17" customWidth="1"/>
    <col min="4613" max="4613" width="42.85546875" style="17" customWidth="1"/>
    <col min="4614" max="4614" width="14.7109375" style="17" customWidth="1"/>
    <col min="4615" max="4615" width="7" style="17" customWidth="1"/>
    <col min="4616" max="4616" width="6.85546875" style="17" customWidth="1"/>
    <col min="4617" max="4617" width="14.7109375" style="17" customWidth="1"/>
    <col min="4618" max="4622" width="14.5703125" style="17" customWidth="1"/>
    <col min="4623" max="4623" width="0.5703125" style="17" customWidth="1"/>
    <col min="4624" max="4865" width="9.140625" style="17"/>
    <col min="4866" max="4866" width="0.85546875" style="17" customWidth="1"/>
    <col min="4867" max="4867" width="14.7109375" style="17" customWidth="1"/>
    <col min="4868" max="4868" width="16.85546875" style="17" customWidth="1"/>
    <col min="4869" max="4869" width="42.85546875" style="17" customWidth="1"/>
    <col min="4870" max="4870" width="14.7109375" style="17" customWidth="1"/>
    <col min="4871" max="4871" width="7" style="17" customWidth="1"/>
    <col min="4872" max="4872" width="6.85546875" style="17" customWidth="1"/>
    <col min="4873" max="4873" width="14.7109375" style="17" customWidth="1"/>
    <col min="4874" max="4878" width="14.5703125" style="17" customWidth="1"/>
    <col min="4879" max="4879" width="0.5703125" style="17" customWidth="1"/>
    <col min="4880" max="5121" width="9.140625" style="17"/>
    <col min="5122" max="5122" width="0.85546875" style="17" customWidth="1"/>
    <col min="5123" max="5123" width="14.7109375" style="17" customWidth="1"/>
    <col min="5124" max="5124" width="16.85546875" style="17" customWidth="1"/>
    <col min="5125" max="5125" width="42.85546875" style="17" customWidth="1"/>
    <col min="5126" max="5126" width="14.7109375" style="17" customWidth="1"/>
    <col min="5127" max="5127" width="7" style="17" customWidth="1"/>
    <col min="5128" max="5128" width="6.85546875" style="17" customWidth="1"/>
    <col min="5129" max="5129" width="14.7109375" style="17" customWidth="1"/>
    <col min="5130" max="5134" width="14.5703125" style="17" customWidth="1"/>
    <col min="5135" max="5135" width="0.5703125" style="17" customWidth="1"/>
    <col min="5136" max="5377" width="9.140625" style="17"/>
    <col min="5378" max="5378" width="0.85546875" style="17" customWidth="1"/>
    <col min="5379" max="5379" width="14.7109375" style="17" customWidth="1"/>
    <col min="5380" max="5380" width="16.85546875" style="17" customWidth="1"/>
    <col min="5381" max="5381" width="42.85546875" style="17" customWidth="1"/>
    <col min="5382" max="5382" width="14.7109375" style="17" customWidth="1"/>
    <col min="5383" max="5383" width="7" style="17" customWidth="1"/>
    <col min="5384" max="5384" width="6.85546875" style="17" customWidth="1"/>
    <col min="5385" max="5385" width="14.7109375" style="17" customWidth="1"/>
    <col min="5386" max="5390" width="14.5703125" style="17" customWidth="1"/>
    <col min="5391" max="5391" width="0.5703125" style="17" customWidth="1"/>
    <col min="5392" max="5633" width="9.140625" style="17"/>
    <col min="5634" max="5634" width="0.85546875" style="17" customWidth="1"/>
    <col min="5635" max="5635" width="14.7109375" style="17" customWidth="1"/>
    <col min="5636" max="5636" width="16.85546875" style="17" customWidth="1"/>
    <col min="5637" max="5637" width="42.85546875" style="17" customWidth="1"/>
    <col min="5638" max="5638" width="14.7109375" style="17" customWidth="1"/>
    <col min="5639" max="5639" width="7" style="17" customWidth="1"/>
    <col min="5640" max="5640" width="6.85546875" style="17" customWidth="1"/>
    <col min="5641" max="5641" width="14.7109375" style="17" customWidth="1"/>
    <col min="5642" max="5646" width="14.5703125" style="17" customWidth="1"/>
    <col min="5647" max="5647" width="0.5703125" style="17" customWidth="1"/>
    <col min="5648" max="5889" width="9.140625" style="17"/>
    <col min="5890" max="5890" width="0.85546875" style="17" customWidth="1"/>
    <col min="5891" max="5891" width="14.7109375" style="17" customWidth="1"/>
    <col min="5892" max="5892" width="16.85546875" style="17" customWidth="1"/>
    <col min="5893" max="5893" width="42.85546875" style="17" customWidth="1"/>
    <col min="5894" max="5894" width="14.7109375" style="17" customWidth="1"/>
    <col min="5895" max="5895" width="7" style="17" customWidth="1"/>
    <col min="5896" max="5896" width="6.85546875" style="17" customWidth="1"/>
    <col min="5897" max="5897" width="14.7109375" style="17" customWidth="1"/>
    <col min="5898" max="5902" width="14.5703125" style="17" customWidth="1"/>
    <col min="5903" max="5903" width="0.5703125" style="17" customWidth="1"/>
    <col min="5904" max="6145" width="9.140625" style="17"/>
    <col min="6146" max="6146" width="0.85546875" style="17" customWidth="1"/>
    <col min="6147" max="6147" width="14.7109375" style="17" customWidth="1"/>
    <col min="6148" max="6148" width="16.85546875" style="17" customWidth="1"/>
    <col min="6149" max="6149" width="42.85546875" style="17" customWidth="1"/>
    <col min="6150" max="6150" width="14.7109375" style="17" customWidth="1"/>
    <col min="6151" max="6151" width="7" style="17" customWidth="1"/>
    <col min="6152" max="6152" width="6.85546875" style="17" customWidth="1"/>
    <col min="6153" max="6153" width="14.7109375" style="17" customWidth="1"/>
    <col min="6154" max="6158" width="14.5703125" style="17" customWidth="1"/>
    <col min="6159" max="6159" width="0.5703125" style="17" customWidth="1"/>
    <col min="6160" max="6401" width="9.140625" style="17"/>
    <col min="6402" max="6402" width="0.85546875" style="17" customWidth="1"/>
    <col min="6403" max="6403" width="14.7109375" style="17" customWidth="1"/>
    <col min="6404" max="6404" width="16.85546875" style="17" customWidth="1"/>
    <col min="6405" max="6405" width="42.85546875" style="17" customWidth="1"/>
    <col min="6406" max="6406" width="14.7109375" style="17" customWidth="1"/>
    <col min="6407" max="6407" width="7" style="17" customWidth="1"/>
    <col min="6408" max="6408" width="6.85546875" style="17" customWidth="1"/>
    <col min="6409" max="6409" width="14.7109375" style="17" customWidth="1"/>
    <col min="6410" max="6414" width="14.5703125" style="17" customWidth="1"/>
    <col min="6415" max="6415" width="0.5703125" style="17" customWidth="1"/>
    <col min="6416" max="6657" width="9.140625" style="17"/>
    <col min="6658" max="6658" width="0.85546875" style="17" customWidth="1"/>
    <col min="6659" max="6659" width="14.7109375" style="17" customWidth="1"/>
    <col min="6660" max="6660" width="16.85546875" style="17" customWidth="1"/>
    <col min="6661" max="6661" width="42.85546875" style="17" customWidth="1"/>
    <col min="6662" max="6662" width="14.7109375" style="17" customWidth="1"/>
    <col min="6663" max="6663" width="7" style="17" customWidth="1"/>
    <col min="6664" max="6664" width="6.85546875" style="17" customWidth="1"/>
    <col min="6665" max="6665" width="14.7109375" style="17" customWidth="1"/>
    <col min="6666" max="6670" width="14.5703125" style="17" customWidth="1"/>
    <col min="6671" max="6671" width="0.5703125" style="17" customWidth="1"/>
    <col min="6672" max="6913" width="9.140625" style="17"/>
    <col min="6914" max="6914" width="0.85546875" style="17" customWidth="1"/>
    <col min="6915" max="6915" width="14.7109375" style="17" customWidth="1"/>
    <col min="6916" max="6916" width="16.85546875" style="17" customWidth="1"/>
    <col min="6917" max="6917" width="42.85546875" style="17" customWidth="1"/>
    <col min="6918" max="6918" width="14.7109375" style="17" customWidth="1"/>
    <col min="6919" max="6919" width="7" style="17" customWidth="1"/>
    <col min="6920" max="6920" width="6.85546875" style="17" customWidth="1"/>
    <col min="6921" max="6921" width="14.7109375" style="17" customWidth="1"/>
    <col min="6922" max="6926" width="14.5703125" style="17" customWidth="1"/>
    <col min="6927" max="6927" width="0.5703125" style="17" customWidth="1"/>
    <col min="6928" max="7169" width="9.140625" style="17"/>
    <col min="7170" max="7170" width="0.85546875" style="17" customWidth="1"/>
    <col min="7171" max="7171" width="14.7109375" style="17" customWidth="1"/>
    <col min="7172" max="7172" width="16.85546875" style="17" customWidth="1"/>
    <col min="7173" max="7173" width="42.85546875" style="17" customWidth="1"/>
    <col min="7174" max="7174" width="14.7109375" style="17" customWidth="1"/>
    <col min="7175" max="7175" width="7" style="17" customWidth="1"/>
    <col min="7176" max="7176" width="6.85546875" style="17" customWidth="1"/>
    <col min="7177" max="7177" width="14.7109375" style="17" customWidth="1"/>
    <col min="7178" max="7182" width="14.5703125" style="17" customWidth="1"/>
    <col min="7183" max="7183" width="0.5703125" style="17" customWidth="1"/>
    <col min="7184" max="7425" width="9.140625" style="17"/>
    <col min="7426" max="7426" width="0.85546875" style="17" customWidth="1"/>
    <col min="7427" max="7427" width="14.7109375" style="17" customWidth="1"/>
    <col min="7428" max="7428" width="16.85546875" style="17" customWidth="1"/>
    <col min="7429" max="7429" width="42.85546875" style="17" customWidth="1"/>
    <col min="7430" max="7430" width="14.7109375" style="17" customWidth="1"/>
    <col min="7431" max="7431" width="7" style="17" customWidth="1"/>
    <col min="7432" max="7432" width="6.85546875" style="17" customWidth="1"/>
    <col min="7433" max="7433" width="14.7109375" style="17" customWidth="1"/>
    <col min="7434" max="7438" width="14.5703125" style="17" customWidth="1"/>
    <col min="7439" max="7439" width="0.5703125" style="17" customWidth="1"/>
    <col min="7440" max="7681" width="9.140625" style="17"/>
    <col min="7682" max="7682" width="0.85546875" style="17" customWidth="1"/>
    <col min="7683" max="7683" width="14.7109375" style="17" customWidth="1"/>
    <col min="7684" max="7684" width="16.85546875" style="17" customWidth="1"/>
    <col min="7685" max="7685" width="42.85546875" style="17" customWidth="1"/>
    <col min="7686" max="7686" width="14.7109375" style="17" customWidth="1"/>
    <col min="7687" max="7687" width="7" style="17" customWidth="1"/>
    <col min="7688" max="7688" width="6.85546875" style="17" customWidth="1"/>
    <col min="7689" max="7689" width="14.7109375" style="17" customWidth="1"/>
    <col min="7690" max="7694" width="14.5703125" style="17" customWidth="1"/>
    <col min="7695" max="7695" width="0.5703125" style="17" customWidth="1"/>
    <col min="7696" max="7937" width="9.140625" style="17"/>
    <col min="7938" max="7938" width="0.85546875" style="17" customWidth="1"/>
    <col min="7939" max="7939" width="14.7109375" style="17" customWidth="1"/>
    <col min="7940" max="7940" width="16.85546875" style="17" customWidth="1"/>
    <col min="7941" max="7941" width="42.85546875" style="17" customWidth="1"/>
    <col min="7942" max="7942" width="14.7109375" style="17" customWidth="1"/>
    <col min="7943" max="7943" width="7" style="17" customWidth="1"/>
    <col min="7944" max="7944" width="6.85546875" style="17" customWidth="1"/>
    <col min="7945" max="7945" width="14.7109375" style="17" customWidth="1"/>
    <col min="7946" max="7950" width="14.5703125" style="17" customWidth="1"/>
    <col min="7951" max="7951" width="0.5703125" style="17" customWidth="1"/>
    <col min="7952" max="8193" width="9.140625" style="17"/>
    <col min="8194" max="8194" width="0.85546875" style="17" customWidth="1"/>
    <col min="8195" max="8195" width="14.7109375" style="17" customWidth="1"/>
    <col min="8196" max="8196" width="16.85546875" style="17" customWidth="1"/>
    <col min="8197" max="8197" width="42.85546875" style="17" customWidth="1"/>
    <col min="8198" max="8198" width="14.7109375" style="17" customWidth="1"/>
    <col min="8199" max="8199" width="7" style="17" customWidth="1"/>
    <col min="8200" max="8200" width="6.85546875" style="17" customWidth="1"/>
    <col min="8201" max="8201" width="14.7109375" style="17" customWidth="1"/>
    <col min="8202" max="8206" width="14.5703125" style="17" customWidth="1"/>
    <col min="8207" max="8207" width="0.5703125" style="17" customWidth="1"/>
    <col min="8208" max="8449" width="9.140625" style="17"/>
    <col min="8450" max="8450" width="0.85546875" style="17" customWidth="1"/>
    <col min="8451" max="8451" width="14.7109375" style="17" customWidth="1"/>
    <col min="8452" max="8452" width="16.85546875" style="17" customWidth="1"/>
    <col min="8453" max="8453" width="42.85546875" style="17" customWidth="1"/>
    <col min="8454" max="8454" width="14.7109375" style="17" customWidth="1"/>
    <col min="8455" max="8455" width="7" style="17" customWidth="1"/>
    <col min="8456" max="8456" width="6.85546875" style="17" customWidth="1"/>
    <col min="8457" max="8457" width="14.7109375" style="17" customWidth="1"/>
    <col min="8458" max="8462" width="14.5703125" style="17" customWidth="1"/>
    <col min="8463" max="8463" width="0.5703125" style="17" customWidth="1"/>
    <col min="8464" max="8705" width="9.140625" style="17"/>
    <col min="8706" max="8706" width="0.85546875" style="17" customWidth="1"/>
    <col min="8707" max="8707" width="14.7109375" style="17" customWidth="1"/>
    <col min="8708" max="8708" width="16.85546875" style="17" customWidth="1"/>
    <col min="8709" max="8709" width="42.85546875" style="17" customWidth="1"/>
    <col min="8710" max="8710" width="14.7109375" style="17" customWidth="1"/>
    <col min="8711" max="8711" width="7" style="17" customWidth="1"/>
    <col min="8712" max="8712" width="6.85546875" style="17" customWidth="1"/>
    <col min="8713" max="8713" width="14.7109375" style="17" customWidth="1"/>
    <col min="8714" max="8718" width="14.5703125" style="17" customWidth="1"/>
    <col min="8719" max="8719" width="0.5703125" style="17" customWidth="1"/>
    <col min="8720" max="8961" width="9.140625" style="17"/>
    <col min="8962" max="8962" width="0.85546875" style="17" customWidth="1"/>
    <col min="8963" max="8963" width="14.7109375" style="17" customWidth="1"/>
    <col min="8964" max="8964" width="16.85546875" style="17" customWidth="1"/>
    <col min="8965" max="8965" width="42.85546875" style="17" customWidth="1"/>
    <col min="8966" max="8966" width="14.7109375" style="17" customWidth="1"/>
    <col min="8967" max="8967" width="7" style="17" customWidth="1"/>
    <col min="8968" max="8968" width="6.85546875" style="17" customWidth="1"/>
    <col min="8969" max="8969" width="14.7109375" style="17" customWidth="1"/>
    <col min="8970" max="8974" width="14.5703125" style="17" customWidth="1"/>
    <col min="8975" max="8975" width="0.5703125" style="17" customWidth="1"/>
    <col min="8976" max="9217" width="9.140625" style="17"/>
    <col min="9218" max="9218" width="0.85546875" style="17" customWidth="1"/>
    <col min="9219" max="9219" width="14.7109375" style="17" customWidth="1"/>
    <col min="9220" max="9220" width="16.85546875" style="17" customWidth="1"/>
    <col min="9221" max="9221" width="42.85546875" style="17" customWidth="1"/>
    <col min="9222" max="9222" width="14.7109375" style="17" customWidth="1"/>
    <col min="9223" max="9223" width="7" style="17" customWidth="1"/>
    <col min="9224" max="9224" width="6.85546875" style="17" customWidth="1"/>
    <col min="9225" max="9225" width="14.7109375" style="17" customWidth="1"/>
    <col min="9226" max="9230" width="14.5703125" style="17" customWidth="1"/>
    <col min="9231" max="9231" width="0.5703125" style="17" customWidth="1"/>
    <col min="9232" max="9473" width="9.140625" style="17"/>
    <col min="9474" max="9474" width="0.85546875" style="17" customWidth="1"/>
    <col min="9475" max="9475" width="14.7109375" style="17" customWidth="1"/>
    <col min="9476" max="9476" width="16.85546875" style="17" customWidth="1"/>
    <col min="9477" max="9477" width="42.85546875" style="17" customWidth="1"/>
    <col min="9478" max="9478" width="14.7109375" style="17" customWidth="1"/>
    <col min="9479" max="9479" width="7" style="17" customWidth="1"/>
    <col min="9480" max="9480" width="6.85546875" style="17" customWidth="1"/>
    <col min="9481" max="9481" width="14.7109375" style="17" customWidth="1"/>
    <col min="9482" max="9486" width="14.5703125" style="17" customWidth="1"/>
    <col min="9487" max="9487" width="0.5703125" style="17" customWidth="1"/>
    <col min="9488" max="9729" width="9.140625" style="17"/>
    <col min="9730" max="9730" width="0.85546875" style="17" customWidth="1"/>
    <col min="9731" max="9731" width="14.7109375" style="17" customWidth="1"/>
    <col min="9732" max="9732" width="16.85546875" style="17" customWidth="1"/>
    <col min="9733" max="9733" width="42.85546875" style="17" customWidth="1"/>
    <col min="9734" max="9734" width="14.7109375" style="17" customWidth="1"/>
    <col min="9735" max="9735" width="7" style="17" customWidth="1"/>
    <col min="9736" max="9736" width="6.85546875" style="17" customWidth="1"/>
    <col min="9737" max="9737" width="14.7109375" style="17" customWidth="1"/>
    <col min="9738" max="9742" width="14.5703125" style="17" customWidth="1"/>
    <col min="9743" max="9743" width="0.5703125" style="17" customWidth="1"/>
    <col min="9744" max="9985" width="9.140625" style="17"/>
    <col min="9986" max="9986" width="0.85546875" style="17" customWidth="1"/>
    <col min="9987" max="9987" width="14.7109375" style="17" customWidth="1"/>
    <col min="9988" max="9988" width="16.85546875" style="17" customWidth="1"/>
    <col min="9989" max="9989" width="42.85546875" style="17" customWidth="1"/>
    <col min="9990" max="9990" width="14.7109375" style="17" customWidth="1"/>
    <col min="9991" max="9991" width="7" style="17" customWidth="1"/>
    <col min="9992" max="9992" width="6.85546875" style="17" customWidth="1"/>
    <col min="9993" max="9993" width="14.7109375" style="17" customWidth="1"/>
    <col min="9994" max="9998" width="14.5703125" style="17" customWidth="1"/>
    <col min="9999" max="9999" width="0.5703125" style="17" customWidth="1"/>
    <col min="10000" max="10241" width="9.140625" style="17"/>
    <col min="10242" max="10242" width="0.85546875" style="17" customWidth="1"/>
    <col min="10243" max="10243" width="14.7109375" style="17" customWidth="1"/>
    <col min="10244" max="10244" width="16.85546875" style="17" customWidth="1"/>
    <col min="10245" max="10245" width="42.85546875" style="17" customWidth="1"/>
    <col min="10246" max="10246" width="14.7109375" style="17" customWidth="1"/>
    <col min="10247" max="10247" width="7" style="17" customWidth="1"/>
    <col min="10248" max="10248" width="6.85546875" style="17" customWidth="1"/>
    <col min="10249" max="10249" width="14.7109375" style="17" customWidth="1"/>
    <col min="10250" max="10254" width="14.5703125" style="17" customWidth="1"/>
    <col min="10255" max="10255" width="0.5703125" style="17" customWidth="1"/>
    <col min="10256" max="10497" width="9.140625" style="17"/>
    <col min="10498" max="10498" width="0.85546875" style="17" customWidth="1"/>
    <col min="10499" max="10499" width="14.7109375" style="17" customWidth="1"/>
    <col min="10500" max="10500" width="16.85546875" style="17" customWidth="1"/>
    <col min="10501" max="10501" width="42.85546875" style="17" customWidth="1"/>
    <col min="10502" max="10502" width="14.7109375" style="17" customWidth="1"/>
    <col min="10503" max="10503" width="7" style="17" customWidth="1"/>
    <col min="10504" max="10504" width="6.85546875" style="17" customWidth="1"/>
    <col min="10505" max="10505" width="14.7109375" style="17" customWidth="1"/>
    <col min="10506" max="10510" width="14.5703125" style="17" customWidth="1"/>
    <col min="10511" max="10511" width="0.5703125" style="17" customWidth="1"/>
    <col min="10512" max="10753" width="9.140625" style="17"/>
    <col min="10754" max="10754" width="0.85546875" style="17" customWidth="1"/>
    <col min="10755" max="10755" width="14.7109375" style="17" customWidth="1"/>
    <col min="10756" max="10756" width="16.85546875" style="17" customWidth="1"/>
    <col min="10757" max="10757" width="42.85546875" style="17" customWidth="1"/>
    <col min="10758" max="10758" width="14.7109375" style="17" customWidth="1"/>
    <col min="10759" max="10759" width="7" style="17" customWidth="1"/>
    <col min="10760" max="10760" width="6.85546875" style="17" customWidth="1"/>
    <col min="10761" max="10761" width="14.7109375" style="17" customWidth="1"/>
    <col min="10762" max="10766" width="14.5703125" style="17" customWidth="1"/>
    <col min="10767" max="10767" width="0.5703125" style="17" customWidth="1"/>
    <col min="10768" max="11009" width="9.140625" style="17"/>
    <col min="11010" max="11010" width="0.85546875" style="17" customWidth="1"/>
    <col min="11011" max="11011" width="14.7109375" style="17" customWidth="1"/>
    <col min="11012" max="11012" width="16.85546875" style="17" customWidth="1"/>
    <col min="11013" max="11013" width="42.85546875" style="17" customWidth="1"/>
    <col min="11014" max="11014" width="14.7109375" style="17" customWidth="1"/>
    <col min="11015" max="11015" width="7" style="17" customWidth="1"/>
    <col min="11016" max="11016" width="6.85546875" style="17" customWidth="1"/>
    <col min="11017" max="11017" width="14.7109375" style="17" customWidth="1"/>
    <col min="11018" max="11022" width="14.5703125" style="17" customWidth="1"/>
    <col min="11023" max="11023" width="0.5703125" style="17" customWidth="1"/>
    <col min="11024" max="11265" width="9.140625" style="17"/>
    <col min="11266" max="11266" width="0.85546875" style="17" customWidth="1"/>
    <col min="11267" max="11267" width="14.7109375" style="17" customWidth="1"/>
    <col min="11268" max="11268" width="16.85546875" style="17" customWidth="1"/>
    <col min="11269" max="11269" width="42.85546875" style="17" customWidth="1"/>
    <col min="11270" max="11270" width="14.7109375" style="17" customWidth="1"/>
    <col min="11271" max="11271" width="7" style="17" customWidth="1"/>
    <col min="11272" max="11272" width="6.85546875" style="17" customWidth="1"/>
    <col min="11273" max="11273" width="14.7109375" style="17" customWidth="1"/>
    <col min="11274" max="11278" width="14.5703125" style="17" customWidth="1"/>
    <col min="11279" max="11279" width="0.5703125" style="17" customWidth="1"/>
    <col min="11280" max="11521" width="9.140625" style="17"/>
    <col min="11522" max="11522" width="0.85546875" style="17" customWidth="1"/>
    <col min="11523" max="11523" width="14.7109375" style="17" customWidth="1"/>
    <col min="11524" max="11524" width="16.85546875" style="17" customWidth="1"/>
    <col min="11525" max="11525" width="42.85546875" style="17" customWidth="1"/>
    <col min="11526" max="11526" width="14.7109375" style="17" customWidth="1"/>
    <col min="11527" max="11527" width="7" style="17" customWidth="1"/>
    <col min="11528" max="11528" width="6.85546875" style="17" customWidth="1"/>
    <col min="11529" max="11529" width="14.7109375" style="17" customWidth="1"/>
    <col min="11530" max="11534" width="14.5703125" style="17" customWidth="1"/>
    <col min="11535" max="11535" width="0.5703125" style="17" customWidth="1"/>
    <col min="11536" max="11777" width="9.140625" style="17"/>
    <col min="11778" max="11778" width="0.85546875" style="17" customWidth="1"/>
    <col min="11779" max="11779" width="14.7109375" style="17" customWidth="1"/>
    <col min="11780" max="11780" width="16.85546875" style="17" customWidth="1"/>
    <col min="11781" max="11781" width="42.85546875" style="17" customWidth="1"/>
    <col min="11782" max="11782" width="14.7109375" style="17" customWidth="1"/>
    <col min="11783" max="11783" width="7" style="17" customWidth="1"/>
    <col min="11784" max="11784" width="6.85546875" style="17" customWidth="1"/>
    <col min="11785" max="11785" width="14.7109375" style="17" customWidth="1"/>
    <col min="11786" max="11790" width="14.5703125" style="17" customWidth="1"/>
    <col min="11791" max="11791" width="0.5703125" style="17" customWidth="1"/>
    <col min="11792" max="12033" width="9.140625" style="17"/>
    <col min="12034" max="12034" width="0.85546875" style="17" customWidth="1"/>
    <col min="12035" max="12035" width="14.7109375" style="17" customWidth="1"/>
    <col min="12036" max="12036" width="16.85546875" style="17" customWidth="1"/>
    <col min="12037" max="12037" width="42.85546875" style="17" customWidth="1"/>
    <col min="12038" max="12038" width="14.7109375" style="17" customWidth="1"/>
    <col min="12039" max="12039" width="7" style="17" customWidth="1"/>
    <col min="12040" max="12040" width="6.85546875" style="17" customWidth="1"/>
    <col min="12041" max="12041" width="14.7109375" style="17" customWidth="1"/>
    <col min="12042" max="12046" width="14.5703125" style="17" customWidth="1"/>
    <col min="12047" max="12047" width="0.5703125" style="17" customWidth="1"/>
    <col min="12048" max="12289" width="9.140625" style="17"/>
    <col min="12290" max="12290" width="0.85546875" style="17" customWidth="1"/>
    <col min="12291" max="12291" width="14.7109375" style="17" customWidth="1"/>
    <col min="12292" max="12292" width="16.85546875" style="17" customWidth="1"/>
    <col min="12293" max="12293" width="42.85546875" style="17" customWidth="1"/>
    <col min="12294" max="12294" width="14.7109375" style="17" customWidth="1"/>
    <col min="12295" max="12295" width="7" style="17" customWidth="1"/>
    <col min="12296" max="12296" width="6.85546875" style="17" customWidth="1"/>
    <col min="12297" max="12297" width="14.7109375" style="17" customWidth="1"/>
    <col min="12298" max="12302" width="14.5703125" style="17" customWidth="1"/>
    <col min="12303" max="12303" width="0.5703125" style="17" customWidth="1"/>
    <col min="12304" max="12545" width="9.140625" style="17"/>
    <col min="12546" max="12546" width="0.85546875" style="17" customWidth="1"/>
    <col min="12547" max="12547" width="14.7109375" style="17" customWidth="1"/>
    <col min="12548" max="12548" width="16.85546875" style="17" customWidth="1"/>
    <col min="12549" max="12549" width="42.85546875" style="17" customWidth="1"/>
    <col min="12550" max="12550" width="14.7109375" style="17" customWidth="1"/>
    <col min="12551" max="12551" width="7" style="17" customWidth="1"/>
    <col min="12552" max="12552" width="6.85546875" style="17" customWidth="1"/>
    <col min="12553" max="12553" width="14.7109375" style="17" customWidth="1"/>
    <col min="12554" max="12558" width="14.5703125" style="17" customWidth="1"/>
    <col min="12559" max="12559" width="0.5703125" style="17" customWidth="1"/>
    <col min="12560" max="12801" width="9.140625" style="17"/>
    <col min="12802" max="12802" width="0.85546875" style="17" customWidth="1"/>
    <col min="12803" max="12803" width="14.7109375" style="17" customWidth="1"/>
    <col min="12804" max="12804" width="16.85546875" style="17" customWidth="1"/>
    <col min="12805" max="12805" width="42.85546875" style="17" customWidth="1"/>
    <col min="12806" max="12806" width="14.7109375" style="17" customWidth="1"/>
    <col min="12807" max="12807" width="7" style="17" customWidth="1"/>
    <col min="12808" max="12808" width="6.85546875" style="17" customWidth="1"/>
    <col min="12809" max="12809" width="14.7109375" style="17" customWidth="1"/>
    <col min="12810" max="12814" width="14.5703125" style="17" customWidth="1"/>
    <col min="12815" max="12815" width="0.5703125" style="17" customWidth="1"/>
    <col min="12816" max="13057" width="9.140625" style="17"/>
    <col min="13058" max="13058" width="0.85546875" style="17" customWidth="1"/>
    <col min="13059" max="13059" width="14.7109375" style="17" customWidth="1"/>
    <col min="13060" max="13060" width="16.85546875" style="17" customWidth="1"/>
    <col min="13061" max="13061" width="42.85546875" style="17" customWidth="1"/>
    <col min="13062" max="13062" width="14.7109375" style="17" customWidth="1"/>
    <col min="13063" max="13063" width="7" style="17" customWidth="1"/>
    <col min="13064" max="13064" width="6.85546875" style="17" customWidth="1"/>
    <col min="13065" max="13065" width="14.7109375" style="17" customWidth="1"/>
    <col min="13066" max="13070" width="14.5703125" style="17" customWidth="1"/>
    <col min="13071" max="13071" width="0.5703125" style="17" customWidth="1"/>
    <col min="13072" max="13313" width="9.140625" style="17"/>
    <col min="13314" max="13314" width="0.85546875" style="17" customWidth="1"/>
    <col min="13315" max="13315" width="14.7109375" style="17" customWidth="1"/>
    <col min="13316" max="13316" width="16.85546875" style="17" customWidth="1"/>
    <col min="13317" max="13317" width="42.85546875" style="17" customWidth="1"/>
    <col min="13318" max="13318" width="14.7109375" style="17" customWidth="1"/>
    <col min="13319" max="13319" width="7" style="17" customWidth="1"/>
    <col min="13320" max="13320" width="6.85546875" style="17" customWidth="1"/>
    <col min="13321" max="13321" width="14.7109375" style="17" customWidth="1"/>
    <col min="13322" max="13326" width="14.5703125" style="17" customWidth="1"/>
    <col min="13327" max="13327" width="0.5703125" style="17" customWidth="1"/>
    <col min="13328" max="13569" width="9.140625" style="17"/>
    <col min="13570" max="13570" width="0.85546875" style="17" customWidth="1"/>
    <col min="13571" max="13571" width="14.7109375" style="17" customWidth="1"/>
    <col min="13572" max="13572" width="16.85546875" style="17" customWidth="1"/>
    <col min="13573" max="13573" width="42.85546875" style="17" customWidth="1"/>
    <col min="13574" max="13574" width="14.7109375" style="17" customWidth="1"/>
    <col min="13575" max="13575" width="7" style="17" customWidth="1"/>
    <col min="13576" max="13576" width="6.85546875" style="17" customWidth="1"/>
    <col min="13577" max="13577" width="14.7109375" style="17" customWidth="1"/>
    <col min="13578" max="13582" width="14.5703125" style="17" customWidth="1"/>
    <col min="13583" max="13583" width="0.5703125" style="17" customWidth="1"/>
    <col min="13584" max="13825" width="9.140625" style="17"/>
    <col min="13826" max="13826" width="0.85546875" style="17" customWidth="1"/>
    <col min="13827" max="13827" width="14.7109375" style="17" customWidth="1"/>
    <col min="13828" max="13828" width="16.85546875" style="17" customWidth="1"/>
    <col min="13829" max="13829" width="42.85546875" style="17" customWidth="1"/>
    <col min="13830" max="13830" width="14.7109375" style="17" customWidth="1"/>
    <col min="13831" max="13831" width="7" style="17" customWidth="1"/>
    <col min="13832" max="13832" width="6.85546875" style="17" customWidth="1"/>
    <col min="13833" max="13833" width="14.7109375" style="17" customWidth="1"/>
    <col min="13834" max="13838" width="14.5703125" style="17" customWidth="1"/>
    <col min="13839" max="13839" width="0.5703125" style="17" customWidth="1"/>
    <col min="13840" max="14081" width="9.140625" style="17"/>
    <col min="14082" max="14082" width="0.85546875" style="17" customWidth="1"/>
    <col min="14083" max="14083" width="14.7109375" style="17" customWidth="1"/>
    <col min="14084" max="14084" width="16.85546875" style="17" customWidth="1"/>
    <col min="14085" max="14085" width="42.85546875" style="17" customWidth="1"/>
    <col min="14086" max="14086" width="14.7109375" style="17" customWidth="1"/>
    <col min="14087" max="14087" width="7" style="17" customWidth="1"/>
    <col min="14088" max="14088" width="6.85546875" style="17" customWidth="1"/>
    <col min="14089" max="14089" width="14.7109375" style="17" customWidth="1"/>
    <col min="14090" max="14094" width="14.5703125" style="17" customWidth="1"/>
    <col min="14095" max="14095" width="0.5703125" style="17" customWidth="1"/>
    <col min="14096" max="14337" width="9.140625" style="17"/>
    <col min="14338" max="14338" width="0.85546875" style="17" customWidth="1"/>
    <col min="14339" max="14339" width="14.7109375" style="17" customWidth="1"/>
    <col min="14340" max="14340" width="16.85546875" style="17" customWidth="1"/>
    <col min="14341" max="14341" width="42.85546875" style="17" customWidth="1"/>
    <col min="14342" max="14342" width="14.7109375" style="17" customWidth="1"/>
    <col min="14343" max="14343" width="7" style="17" customWidth="1"/>
    <col min="14344" max="14344" width="6.85546875" style="17" customWidth="1"/>
    <col min="14345" max="14345" width="14.7109375" style="17" customWidth="1"/>
    <col min="14346" max="14350" width="14.5703125" style="17" customWidth="1"/>
    <col min="14351" max="14351" width="0.5703125" style="17" customWidth="1"/>
    <col min="14352" max="14593" width="9.140625" style="17"/>
    <col min="14594" max="14594" width="0.85546875" style="17" customWidth="1"/>
    <col min="14595" max="14595" width="14.7109375" style="17" customWidth="1"/>
    <col min="14596" max="14596" width="16.85546875" style="17" customWidth="1"/>
    <col min="14597" max="14597" width="42.85546875" style="17" customWidth="1"/>
    <col min="14598" max="14598" width="14.7109375" style="17" customWidth="1"/>
    <col min="14599" max="14599" width="7" style="17" customWidth="1"/>
    <col min="14600" max="14600" width="6.85546875" style="17" customWidth="1"/>
    <col min="14601" max="14601" width="14.7109375" style="17" customWidth="1"/>
    <col min="14602" max="14606" width="14.5703125" style="17" customWidth="1"/>
    <col min="14607" max="14607" width="0.5703125" style="17" customWidth="1"/>
    <col min="14608" max="14849" width="9.140625" style="17"/>
    <col min="14850" max="14850" width="0.85546875" style="17" customWidth="1"/>
    <col min="14851" max="14851" width="14.7109375" style="17" customWidth="1"/>
    <col min="14852" max="14852" width="16.85546875" style="17" customWidth="1"/>
    <col min="14853" max="14853" width="42.85546875" style="17" customWidth="1"/>
    <col min="14854" max="14854" width="14.7109375" style="17" customWidth="1"/>
    <col min="14855" max="14855" width="7" style="17" customWidth="1"/>
    <col min="14856" max="14856" width="6.85546875" style="17" customWidth="1"/>
    <col min="14857" max="14857" width="14.7109375" style="17" customWidth="1"/>
    <col min="14858" max="14862" width="14.5703125" style="17" customWidth="1"/>
    <col min="14863" max="14863" width="0.5703125" style="17" customWidth="1"/>
    <col min="14864" max="15105" width="9.140625" style="17"/>
    <col min="15106" max="15106" width="0.85546875" style="17" customWidth="1"/>
    <col min="15107" max="15107" width="14.7109375" style="17" customWidth="1"/>
    <col min="15108" max="15108" width="16.85546875" style="17" customWidth="1"/>
    <col min="15109" max="15109" width="42.85546875" style="17" customWidth="1"/>
    <col min="15110" max="15110" width="14.7109375" style="17" customWidth="1"/>
    <col min="15111" max="15111" width="7" style="17" customWidth="1"/>
    <col min="15112" max="15112" width="6.85546875" style="17" customWidth="1"/>
    <col min="15113" max="15113" width="14.7109375" style="17" customWidth="1"/>
    <col min="15114" max="15118" width="14.5703125" style="17" customWidth="1"/>
    <col min="15119" max="15119" width="0.5703125" style="17" customWidth="1"/>
    <col min="15120" max="15361" width="9.140625" style="17"/>
    <col min="15362" max="15362" width="0.85546875" style="17" customWidth="1"/>
    <col min="15363" max="15363" width="14.7109375" style="17" customWidth="1"/>
    <col min="15364" max="15364" width="16.85546875" style="17" customWidth="1"/>
    <col min="15365" max="15365" width="42.85546875" style="17" customWidth="1"/>
    <col min="15366" max="15366" width="14.7109375" style="17" customWidth="1"/>
    <col min="15367" max="15367" width="7" style="17" customWidth="1"/>
    <col min="15368" max="15368" width="6.85546875" style="17" customWidth="1"/>
    <col min="15369" max="15369" width="14.7109375" style="17" customWidth="1"/>
    <col min="15370" max="15374" width="14.5703125" style="17" customWidth="1"/>
    <col min="15375" max="15375" width="0.5703125" style="17" customWidth="1"/>
    <col min="15376" max="15617" width="9.140625" style="17"/>
    <col min="15618" max="15618" width="0.85546875" style="17" customWidth="1"/>
    <col min="15619" max="15619" width="14.7109375" style="17" customWidth="1"/>
    <col min="15620" max="15620" width="16.85546875" style="17" customWidth="1"/>
    <col min="15621" max="15621" width="42.85546875" style="17" customWidth="1"/>
    <col min="15622" max="15622" width="14.7109375" style="17" customWidth="1"/>
    <col min="15623" max="15623" width="7" style="17" customWidth="1"/>
    <col min="15624" max="15624" width="6.85546875" style="17" customWidth="1"/>
    <col min="15625" max="15625" width="14.7109375" style="17" customWidth="1"/>
    <col min="15626" max="15630" width="14.5703125" style="17" customWidth="1"/>
    <col min="15631" max="15631" width="0.5703125" style="17" customWidth="1"/>
    <col min="15632" max="15873" width="9.140625" style="17"/>
    <col min="15874" max="15874" width="0.85546875" style="17" customWidth="1"/>
    <col min="15875" max="15875" width="14.7109375" style="17" customWidth="1"/>
    <col min="15876" max="15876" width="16.85546875" style="17" customWidth="1"/>
    <col min="15877" max="15877" width="42.85546875" style="17" customWidth="1"/>
    <col min="15878" max="15878" width="14.7109375" style="17" customWidth="1"/>
    <col min="15879" max="15879" width="7" style="17" customWidth="1"/>
    <col min="15880" max="15880" width="6.85546875" style="17" customWidth="1"/>
    <col min="15881" max="15881" width="14.7109375" style="17" customWidth="1"/>
    <col min="15882" max="15886" width="14.5703125" style="17" customWidth="1"/>
    <col min="15887" max="15887" width="0.5703125" style="17" customWidth="1"/>
    <col min="15888" max="16129" width="9.140625" style="17"/>
    <col min="16130" max="16130" width="0.85546875" style="17" customWidth="1"/>
    <col min="16131" max="16131" width="14.7109375" style="17" customWidth="1"/>
    <col min="16132" max="16132" width="16.85546875" style="17" customWidth="1"/>
    <col min="16133" max="16133" width="42.85546875" style="17" customWidth="1"/>
    <col min="16134" max="16134" width="14.7109375" style="17" customWidth="1"/>
    <col min="16135" max="16135" width="7" style="17" customWidth="1"/>
    <col min="16136" max="16136" width="6.85546875" style="17" customWidth="1"/>
    <col min="16137" max="16137" width="14.7109375" style="17" customWidth="1"/>
    <col min="16138" max="16142" width="14.5703125" style="17" customWidth="1"/>
    <col min="16143" max="16143" width="0.5703125" style="17" customWidth="1"/>
    <col min="16144" max="16384" width="9.140625" style="17"/>
  </cols>
  <sheetData>
    <row r="2" spans="1:19" ht="15.75" thickBot="1" x14ac:dyDescent="0.25">
      <c r="M2" s="19"/>
      <c r="N2" s="19"/>
      <c r="P2" s="20" t="s">
        <v>59</v>
      </c>
      <c r="Q2" s="21">
        <v>44666</v>
      </c>
    </row>
    <row r="3" spans="1:19" s="1" customFormat="1" ht="22.5" x14ac:dyDescent="0.2">
      <c r="C3" s="22"/>
      <c r="D3" s="22"/>
      <c r="E3" s="23"/>
      <c r="F3" s="23"/>
      <c r="G3" s="24"/>
      <c r="H3" s="24"/>
      <c r="I3" s="24"/>
      <c r="J3" s="24"/>
      <c r="K3" s="24"/>
      <c r="L3" s="24"/>
      <c r="M3" s="24"/>
      <c r="N3" s="24"/>
      <c r="O3" s="54"/>
      <c r="P3" s="15" t="s">
        <v>60</v>
      </c>
      <c r="Q3" s="64" t="str">
        <f>Planilha!B3</f>
        <v>CENTRO DE REFERÊNCIA EM GEOCIÊNCIAS</v>
      </c>
      <c r="S3" s="2"/>
    </row>
    <row r="4" spans="1:19" s="1" customFormat="1" ht="22.5" x14ac:dyDescent="0.2">
      <c r="C4" s="25"/>
      <c r="D4" s="25"/>
      <c r="E4" s="544" t="str">
        <f>Q3</f>
        <v>CENTRO DE REFERÊNCIA EM GEOCIÊNCIAS</v>
      </c>
      <c r="F4" s="545"/>
      <c r="G4" s="546" t="s">
        <v>32</v>
      </c>
      <c r="H4" s="547"/>
      <c r="I4" s="547"/>
      <c r="J4" s="547"/>
      <c r="K4" s="547"/>
      <c r="L4" s="548"/>
      <c r="M4" s="3" t="s">
        <v>47</v>
      </c>
      <c r="N4" s="13">
        <f>$Q$2</f>
        <v>44666</v>
      </c>
      <c r="O4" s="54"/>
      <c r="P4" s="15" t="s">
        <v>5</v>
      </c>
      <c r="Q4" s="16" t="str">
        <f>Planilha!B4</f>
        <v>Avenida Pasteur, 404 - Urca - Rio de Janeiro / RJ</v>
      </c>
      <c r="S4" s="2"/>
    </row>
    <row r="5" spans="1:19" s="1" customFormat="1" ht="22.5" x14ac:dyDescent="0.2">
      <c r="C5" s="25"/>
      <c r="D5" s="25"/>
      <c r="E5" s="549" t="str">
        <f>Q4</f>
        <v>Avenida Pasteur, 404 - Urca - Rio de Janeiro / RJ</v>
      </c>
      <c r="F5" s="550"/>
      <c r="G5" s="546"/>
      <c r="H5" s="547"/>
      <c r="I5" s="547"/>
      <c r="J5" s="547"/>
      <c r="K5" s="547"/>
      <c r="L5" s="548"/>
      <c r="M5" s="4" t="s">
        <v>33</v>
      </c>
      <c r="N5" s="5" t="str">
        <f>Q5</f>
        <v>Piffer</v>
      </c>
      <c r="O5" s="54"/>
      <c r="P5" s="15" t="s">
        <v>61</v>
      </c>
      <c r="Q5" s="16" t="s">
        <v>62</v>
      </c>
      <c r="S5" s="2"/>
    </row>
    <row r="6" spans="1:19" s="1" customFormat="1" ht="23.25" thickBot="1" x14ac:dyDescent="0.25">
      <c r="C6" s="26"/>
      <c r="D6" s="26"/>
      <c r="E6" s="27"/>
      <c r="F6" s="28"/>
      <c r="G6" s="29"/>
      <c r="H6" s="29"/>
      <c r="I6" s="29"/>
      <c r="J6" s="29"/>
      <c r="K6" s="29"/>
      <c r="L6" s="29"/>
      <c r="M6" s="29"/>
      <c r="N6" s="29"/>
      <c r="O6" s="54"/>
      <c r="S6" s="2"/>
    </row>
    <row r="7" spans="1:19" s="10" customFormat="1" ht="12" thickBot="1" x14ac:dyDescent="0.25">
      <c r="C7" s="6"/>
      <c r="D7" s="6"/>
      <c r="E7" s="6"/>
      <c r="F7" s="7"/>
      <c r="G7" s="8"/>
      <c r="H7" s="8"/>
      <c r="I7" s="9"/>
      <c r="N7" s="4"/>
      <c r="O7" s="55"/>
      <c r="S7" s="11"/>
    </row>
    <row r="8" spans="1:19" s="34" customFormat="1" ht="16.5" thickBot="1" x14ac:dyDescent="0.25">
      <c r="A8" s="84"/>
      <c r="B8" s="84"/>
      <c r="C8" s="30">
        <v>1</v>
      </c>
      <c r="D8" s="31" t="s">
        <v>73</v>
      </c>
      <c r="E8" s="32"/>
      <c r="F8" s="32"/>
      <c r="G8" s="32"/>
      <c r="H8" s="32"/>
      <c r="I8" s="32"/>
      <c r="J8" s="32"/>
      <c r="K8" s="32"/>
      <c r="L8" s="32"/>
      <c r="M8" s="32"/>
      <c r="N8" s="33"/>
      <c r="O8" s="56"/>
      <c r="S8" s="35"/>
    </row>
    <row r="9" spans="1:19" s="40" customFormat="1" ht="16.5" customHeight="1" thickBot="1" x14ac:dyDescent="0.25">
      <c r="A9" s="85"/>
      <c r="B9" s="85"/>
      <c r="C9" s="36" t="s">
        <v>20</v>
      </c>
      <c r="D9" s="37" t="s">
        <v>201</v>
      </c>
      <c r="E9" s="38"/>
      <c r="F9" s="38"/>
      <c r="G9" s="38"/>
      <c r="H9" s="38"/>
      <c r="I9" s="38"/>
      <c r="J9" s="38"/>
      <c r="K9" s="38"/>
      <c r="L9" s="38"/>
      <c r="M9" s="38"/>
      <c r="N9" s="39"/>
      <c r="O9" s="57"/>
      <c r="S9" s="41"/>
    </row>
    <row r="10" spans="1:19" s="10" customFormat="1" ht="11.25" x14ac:dyDescent="0.2">
      <c r="C10" s="6"/>
      <c r="D10" s="6"/>
      <c r="E10" s="6"/>
      <c r="F10" s="7"/>
      <c r="G10" s="8"/>
      <c r="H10" s="8"/>
      <c r="I10" s="9"/>
      <c r="M10" s="4"/>
      <c r="N10" s="5"/>
      <c r="O10" s="55"/>
      <c r="S10" s="11"/>
    </row>
    <row r="11" spans="1:19" ht="18" thickBot="1" x14ac:dyDescent="0.25">
      <c r="C11" s="66" t="s">
        <v>34</v>
      </c>
      <c r="D11" s="537" t="s">
        <v>202</v>
      </c>
      <c r="E11" s="538"/>
      <c r="F11" s="539"/>
      <c r="G11" s="540" t="s">
        <v>35</v>
      </c>
      <c r="H11" s="541"/>
      <c r="I11" s="42" t="s">
        <v>203</v>
      </c>
      <c r="J11" s="66" t="s">
        <v>36</v>
      </c>
      <c r="K11" s="542" t="s">
        <v>204</v>
      </c>
      <c r="L11" s="543"/>
      <c r="M11" s="66" t="s">
        <v>37</v>
      </c>
      <c r="N11" s="43">
        <v>44669</v>
      </c>
      <c r="O11" s="58"/>
    </row>
    <row r="12" spans="1:19" ht="18.75" thickTop="1" thickBot="1" x14ac:dyDescent="0.25">
      <c r="C12" s="66" t="s">
        <v>34</v>
      </c>
      <c r="D12" s="530" t="s">
        <v>208</v>
      </c>
      <c r="E12" s="531"/>
      <c r="F12" s="532"/>
      <c r="G12" s="533" t="s">
        <v>35</v>
      </c>
      <c r="H12" s="534"/>
      <c r="I12" s="44" t="s">
        <v>209</v>
      </c>
      <c r="J12" s="66" t="s">
        <v>36</v>
      </c>
      <c r="K12" s="535" t="s">
        <v>210</v>
      </c>
      <c r="L12" s="536"/>
      <c r="M12" s="66" t="s">
        <v>37</v>
      </c>
      <c r="N12" s="45">
        <v>44670</v>
      </c>
      <c r="O12" s="58"/>
    </row>
    <row r="13" spans="1:19" ht="18.75" thickTop="1" thickBot="1" x14ac:dyDescent="0.25">
      <c r="C13" s="66" t="s">
        <v>34</v>
      </c>
      <c r="D13" s="530" t="s">
        <v>212</v>
      </c>
      <c r="E13" s="531"/>
      <c r="F13" s="532"/>
      <c r="G13" s="533" t="s">
        <v>35</v>
      </c>
      <c r="H13" s="534"/>
      <c r="I13" s="44" t="s">
        <v>213</v>
      </c>
      <c r="J13" s="66" t="s">
        <v>36</v>
      </c>
      <c r="K13" s="535" t="s">
        <v>214</v>
      </c>
      <c r="L13" s="536"/>
      <c r="M13" s="66" t="s">
        <v>37</v>
      </c>
      <c r="N13" s="45">
        <v>44670</v>
      </c>
      <c r="O13" s="58"/>
    </row>
    <row r="14" spans="1:19" ht="18.75" thickTop="1" thickBot="1" x14ac:dyDescent="0.25">
      <c r="C14" s="66" t="s">
        <v>34</v>
      </c>
      <c r="D14" s="530" t="s">
        <v>215</v>
      </c>
      <c r="E14" s="531"/>
      <c r="F14" s="532"/>
      <c r="G14" s="533" t="s">
        <v>35</v>
      </c>
      <c r="H14" s="534"/>
      <c r="I14" s="44" t="s">
        <v>217</v>
      </c>
      <c r="J14" s="66" t="s">
        <v>36</v>
      </c>
      <c r="K14" s="535" t="s">
        <v>216</v>
      </c>
      <c r="L14" s="536"/>
      <c r="M14" s="66" t="s">
        <v>37</v>
      </c>
      <c r="N14" s="45">
        <v>44669</v>
      </c>
      <c r="O14" s="58"/>
    </row>
    <row r="15" spans="1:19" ht="18.75" thickTop="1" thickBot="1" x14ac:dyDescent="0.25">
      <c r="C15" s="66" t="s">
        <v>34</v>
      </c>
      <c r="D15" s="530" t="s">
        <v>260</v>
      </c>
      <c r="E15" s="531"/>
      <c r="F15" s="532"/>
      <c r="G15" s="533" t="s">
        <v>35</v>
      </c>
      <c r="H15" s="534"/>
      <c r="I15" s="44" t="s">
        <v>262</v>
      </c>
      <c r="J15" s="66" t="s">
        <v>36</v>
      </c>
      <c r="K15" s="535" t="s">
        <v>261</v>
      </c>
      <c r="L15" s="536"/>
      <c r="M15" s="66" t="s">
        <v>37</v>
      </c>
      <c r="N15" s="45">
        <v>44676</v>
      </c>
      <c r="O15" s="58"/>
    </row>
    <row r="16" spans="1:19" ht="16.5" thickTop="1" thickBot="1" x14ac:dyDescent="0.25">
      <c r="O16" s="58"/>
    </row>
    <row r="17" spans="1:19" ht="15" customHeight="1" x14ac:dyDescent="0.2">
      <c r="C17" s="509" t="s">
        <v>19</v>
      </c>
      <c r="D17" s="499" t="s">
        <v>7</v>
      </c>
      <c r="E17" s="512"/>
      <c r="F17" s="500"/>
      <c r="G17" s="519" t="s">
        <v>30</v>
      </c>
      <c r="H17" s="522" t="s">
        <v>38</v>
      </c>
      <c r="I17" s="65" t="s">
        <v>39</v>
      </c>
      <c r="J17" s="65" t="s">
        <v>39</v>
      </c>
      <c r="K17" s="65" t="s">
        <v>39</v>
      </c>
      <c r="L17" s="65" t="s">
        <v>39</v>
      </c>
      <c r="M17" s="65" t="s">
        <v>39</v>
      </c>
      <c r="N17" s="525" t="s">
        <v>40</v>
      </c>
      <c r="O17" s="58"/>
    </row>
    <row r="18" spans="1:19" x14ac:dyDescent="0.2">
      <c r="C18" s="510"/>
      <c r="D18" s="513"/>
      <c r="E18" s="514"/>
      <c r="F18" s="515"/>
      <c r="G18" s="520"/>
      <c r="H18" s="523"/>
      <c r="I18" s="12" t="str">
        <f>D11</f>
        <v>RENTCON</v>
      </c>
      <c r="J18" s="12" t="str">
        <f>D12</f>
        <v>RIO BOX</v>
      </c>
      <c r="K18" s="12" t="str">
        <f>D13</f>
        <v>CONT RIO</v>
      </c>
      <c r="L18" s="12" t="str">
        <f>D14</f>
        <v>CONTÊINER RIO</v>
      </c>
      <c r="M18" s="12" t="str">
        <f>D15</f>
        <v>NHJ</v>
      </c>
      <c r="N18" s="526"/>
      <c r="O18" s="58"/>
    </row>
    <row r="19" spans="1:19" ht="15" customHeight="1" x14ac:dyDescent="0.2">
      <c r="C19" s="510"/>
      <c r="D19" s="513"/>
      <c r="E19" s="514"/>
      <c r="F19" s="515"/>
      <c r="G19" s="520"/>
      <c r="H19" s="523"/>
      <c r="I19" s="528" t="s">
        <v>41</v>
      </c>
      <c r="J19" s="528" t="s">
        <v>41</v>
      </c>
      <c r="K19" s="528" t="s">
        <v>41</v>
      </c>
      <c r="L19" s="528" t="s">
        <v>41</v>
      </c>
      <c r="M19" s="528" t="s">
        <v>41</v>
      </c>
      <c r="N19" s="526"/>
      <c r="O19" s="58"/>
    </row>
    <row r="20" spans="1:19" ht="15.75" thickBot="1" x14ac:dyDescent="0.25">
      <c r="C20" s="511"/>
      <c r="D20" s="516"/>
      <c r="E20" s="517"/>
      <c r="F20" s="518"/>
      <c r="G20" s="521"/>
      <c r="H20" s="524"/>
      <c r="I20" s="529"/>
      <c r="J20" s="529"/>
      <c r="K20" s="529"/>
      <c r="L20" s="529"/>
      <c r="M20" s="529"/>
      <c r="N20" s="527"/>
      <c r="O20" s="58"/>
    </row>
    <row r="21" spans="1:19" ht="15.75" thickBot="1" x14ac:dyDescent="0.25">
      <c r="O21" s="58"/>
      <c r="P21" s="200" t="s">
        <v>79</v>
      </c>
      <c r="Q21" s="200" t="s">
        <v>89</v>
      </c>
      <c r="R21" s="200" t="s">
        <v>90</v>
      </c>
    </row>
    <row r="22" spans="1:19" s="67" customFormat="1" x14ac:dyDescent="0.2">
      <c r="A22" s="86"/>
      <c r="B22" s="86"/>
      <c r="C22" s="68"/>
      <c r="D22" s="503"/>
      <c r="E22" s="504"/>
      <c r="F22" s="505"/>
      <c r="G22" s="69"/>
      <c r="H22" s="69"/>
      <c r="I22" s="70"/>
      <c r="J22" s="70"/>
      <c r="K22" s="70"/>
      <c r="L22" s="70"/>
      <c r="M22" s="70"/>
      <c r="N22" s="71"/>
      <c r="O22" s="72"/>
      <c r="P22" s="53"/>
      <c r="Q22" s="17"/>
      <c r="R22" s="17"/>
      <c r="S22" s="73"/>
    </row>
    <row r="23" spans="1:19" x14ac:dyDescent="0.2">
      <c r="B23" s="83" t="s">
        <v>144</v>
      </c>
      <c r="C23" s="74">
        <v>1</v>
      </c>
      <c r="D23" s="506" t="str">
        <f>IFERROR(VLOOKUP(B23,Fontes!$A$9:$AC$6124,2,FALSE),0)</f>
        <v>Locação de container escritório com isolamento térmico e sanitário</v>
      </c>
      <c r="E23" s="507">
        <f>IFERROR(VLOOKUP(D23,Planilha!$B$10:$AC$943,4,FALSE),0)</f>
        <v>0</v>
      </c>
      <c r="F23" s="508">
        <f>IFERROR(VLOOKUP(E23,Planilha!$B$10:$AC$943,4,FALSE),0)</f>
        <v>0</v>
      </c>
      <c r="G23" s="75" t="str">
        <f>IFERROR(VLOOKUP(B23,Fontes!$A$9:$AC$6124,3,FALSE),0)</f>
        <v>un/mês</v>
      </c>
      <c r="H23" s="76">
        <v>1</v>
      </c>
      <c r="I23" s="77">
        <v>931</v>
      </c>
      <c r="J23" s="77">
        <v>850</v>
      </c>
      <c r="K23" s="77">
        <v>795</v>
      </c>
      <c r="L23" s="77">
        <v>710</v>
      </c>
      <c r="M23" s="77">
        <v>950</v>
      </c>
      <c r="N23" s="78">
        <f>IFERROR(+AVERAGE(I23,J23,K23,L23,M23),0)</f>
        <v>847.2</v>
      </c>
      <c r="O23" s="58"/>
      <c r="P23" s="18"/>
      <c r="Q23" s="18"/>
      <c r="R23" s="18">
        <f>N23</f>
        <v>847.2</v>
      </c>
    </row>
    <row r="24" spans="1:19" ht="15" customHeight="1" x14ac:dyDescent="0.2">
      <c r="B24" s="83" t="s">
        <v>145</v>
      </c>
      <c r="C24" s="74">
        <v>2</v>
      </c>
      <c r="D24" s="506" t="str">
        <f>IFERROR(VLOOKUP(B24,Fontes!$A$9:$AC$6124,2,FALSE),0)</f>
        <v>Locação de container refeitório com isolamento térmico</v>
      </c>
      <c r="E24" s="507">
        <f>IFERROR(VLOOKUP(D24,Planilha!$B$10:$AC$943,4,FALSE),0)</f>
        <v>0</v>
      </c>
      <c r="F24" s="508">
        <f>IFERROR(VLOOKUP(E24,Planilha!$B$10:$AC$943,4,FALSE),0)</f>
        <v>0</v>
      </c>
      <c r="G24" s="75" t="str">
        <f>IFERROR(VLOOKUP(B24,Fontes!$A$9:$AC$6124,3,FALSE),0)</f>
        <v>un/mês</v>
      </c>
      <c r="H24" s="76">
        <v>1</v>
      </c>
      <c r="I24" s="77">
        <v>997</v>
      </c>
      <c r="J24" s="77">
        <v>870</v>
      </c>
      <c r="K24" s="77"/>
      <c r="L24" s="77">
        <v>650</v>
      </c>
      <c r="M24" s="77"/>
      <c r="N24" s="78">
        <f t="shared" ref="N24:N29" si="0">IFERROR(+AVERAGE(I24,J24,K24,L24,M24),0)</f>
        <v>839</v>
      </c>
      <c r="O24" s="58"/>
      <c r="P24" s="18"/>
      <c r="Q24" s="18"/>
      <c r="R24" s="18">
        <f t="shared" ref="R24:R30" si="1">N24</f>
        <v>839</v>
      </c>
    </row>
    <row r="25" spans="1:19" x14ac:dyDescent="0.2">
      <c r="B25" s="83" t="s">
        <v>146</v>
      </c>
      <c r="C25" s="74">
        <v>3</v>
      </c>
      <c r="D25" s="506" t="str">
        <f>IFERROR(VLOOKUP(B25,Fontes!$A$9:$AC$6124,2,FALSE),0)</f>
        <v>Locação de container almoxarifado</v>
      </c>
      <c r="E25" s="507">
        <f>IFERROR(VLOOKUP(D25,Planilha!$B$10:$AC$943,4,FALSE),0)</f>
        <v>0</v>
      </c>
      <c r="F25" s="508">
        <f>IFERROR(VLOOKUP(E25,Planilha!$B$10:$AC$943,4,FALSE),0)</f>
        <v>0</v>
      </c>
      <c r="G25" s="75" t="str">
        <f>IFERROR(VLOOKUP(B25,Fontes!$A$9:$AC$6124,3,FALSE),0)</f>
        <v>un/mês</v>
      </c>
      <c r="H25" s="76">
        <v>1</v>
      </c>
      <c r="I25" s="77">
        <v>665</v>
      </c>
      <c r="J25" s="77">
        <v>590</v>
      </c>
      <c r="K25" s="77"/>
      <c r="L25" s="77">
        <v>560</v>
      </c>
      <c r="M25" s="77">
        <v>650</v>
      </c>
      <c r="N25" s="78">
        <f t="shared" si="0"/>
        <v>616.25</v>
      </c>
      <c r="O25" s="58"/>
      <c r="P25" s="18"/>
      <c r="Q25" s="18"/>
      <c r="R25" s="18">
        <f t="shared" si="1"/>
        <v>616.25</v>
      </c>
    </row>
    <row r="26" spans="1:19" x14ac:dyDescent="0.2">
      <c r="B26" s="83" t="s">
        <v>147</v>
      </c>
      <c r="C26" s="74">
        <v>4</v>
      </c>
      <c r="D26" s="506" t="str">
        <f>IFERROR(VLOOKUP(B26,Fontes!$A$9:$AC$6124,2,FALSE),0)</f>
        <v>Locação de container vestiário</v>
      </c>
      <c r="E26" s="507">
        <f>IFERROR(VLOOKUP(D26,Planilha!$B$10:$AC$943,4,FALSE),0)</f>
        <v>0</v>
      </c>
      <c r="F26" s="508">
        <f>IFERROR(VLOOKUP(E26,Planilha!$B$10:$AC$943,4,FALSE),0)</f>
        <v>0</v>
      </c>
      <c r="G26" s="75" t="str">
        <f>IFERROR(VLOOKUP(B26,Fontes!$A$9:$AC$6124,3,FALSE),0)</f>
        <v>un/mês</v>
      </c>
      <c r="H26" s="76">
        <v>1</v>
      </c>
      <c r="I26" s="77">
        <v>665</v>
      </c>
      <c r="J26" s="77">
        <v>650</v>
      </c>
      <c r="K26" s="77"/>
      <c r="L26" s="77">
        <v>560</v>
      </c>
      <c r="M26" s="77">
        <v>550</v>
      </c>
      <c r="N26" s="78">
        <f t="shared" si="0"/>
        <v>606.25</v>
      </c>
      <c r="O26" s="58"/>
      <c r="P26" s="18"/>
      <c r="Q26" s="18"/>
      <c r="R26" s="18">
        <f t="shared" si="1"/>
        <v>606.25</v>
      </c>
    </row>
    <row r="27" spans="1:19" ht="27" customHeight="1" x14ac:dyDescent="0.2">
      <c r="B27" s="83" t="s">
        <v>148</v>
      </c>
      <c r="C27" s="74">
        <v>5</v>
      </c>
      <c r="D27" s="506" t="str">
        <f>IFERROR(VLOOKUP(B27,Fontes!$A$9:$AC$6124,2,FALSE),0)</f>
        <v>Locação de container sanitário com seis chuveiros, um mictório, três vasos sanitários e três lavatórios</v>
      </c>
      <c r="E27" s="507">
        <f>IFERROR(VLOOKUP(D27,Planilha!$B$10:$AC$943,4,FALSE),0)</f>
        <v>0</v>
      </c>
      <c r="F27" s="508">
        <f>IFERROR(VLOOKUP(E27,Planilha!$B$10:$AC$943,4,FALSE),0)</f>
        <v>0</v>
      </c>
      <c r="G27" s="75" t="str">
        <f>IFERROR(VLOOKUP(B27,Fontes!$A$9:$AC$6124,3,FALSE),0)</f>
        <v>un/mês</v>
      </c>
      <c r="H27" s="76">
        <v>1</v>
      </c>
      <c r="I27" s="77">
        <v>1520</v>
      </c>
      <c r="J27" s="77">
        <v>800</v>
      </c>
      <c r="K27" s="77">
        <v>895</v>
      </c>
      <c r="L27" s="77">
        <v>800</v>
      </c>
      <c r="M27" s="77">
        <v>1200</v>
      </c>
      <c r="N27" s="78">
        <f t="shared" si="0"/>
        <v>1043</v>
      </c>
      <c r="O27" s="58"/>
      <c r="P27" s="18"/>
      <c r="Q27" s="18"/>
      <c r="R27" s="18">
        <f t="shared" si="1"/>
        <v>1043</v>
      </c>
    </row>
    <row r="28" spans="1:19" x14ac:dyDescent="0.2">
      <c r="B28" s="83" t="s">
        <v>149</v>
      </c>
      <c r="C28" s="74">
        <v>6</v>
      </c>
      <c r="D28" s="506" t="str">
        <f>IFERROR(VLOOKUP(B28,Fontes!$A$9:$AC$6124,2,FALSE),0)</f>
        <v>Locação de aparelho de ar condicionado de janela 17.500 BTUs para container</v>
      </c>
      <c r="E28" s="507">
        <f>IFERROR(VLOOKUP(D28,Planilha!$B$10:$AC$943,4,FALSE),0)</f>
        <v>0</v>
      </c>
      <c r="F28" s="508">
        <f>IFERROR(VLOOKUP(E28,Planilha!$B$10:$AC$943,4,FALSE),0)</f>
        <v>0</v>
      </c>
      <c r="G28" s="75" t="str">
        <f>IFERROR(VLOOKUP(B28,Fontes!$A$9:$AC$6124,3,FALSE),0)</f>
        <v>un/mês</v>
      </c>
      <c r="H28" s="75">
        <v>1</v>
      </c>
      <c r="I28" s="77">
        <v>300</v>
      </c>
      <c r="J28" s="77">
        <v>290</v>
      </c>
      <c r="K28" s="77"/>
      <c r="L28" s="77"/>
      <c r="M28" s="77">
        <v>300</v>
      </c>
      <c r="N28" s="78">
        <f t="shared" si="0"/>
        <v>296.66666666666669</v>
      </c>
      <c r="O28" s="58"/>
      <c r="P28" s="18"/>
      <c r="Q28" s="18"/>
      <c r="R28" s="18">
        <f t="shared" si="1"/>
        <v>296.66666666666669</v>
      </c>
    </row>
    <row r="29" spans="1:19" x14ac:dyDescent="0.2">
      <c r="B29" s="83" t="s">
        <v>150</v>
      </c>
      <c r="C29" s="74">
        <v>7</v>
      </c>
      <c r="D29" s="506" t="str">
        <f>IFERROR(VLOOKUP(B29,Fontes!$A$9:$AC$6124,2,FALSE),0)</f>
        <v>Taxa de entrega para container</v>
      </c>
      <c r="E29" s="507">
        <f>IFERROR(VLOOKUP(D29,Planilha!$B$10:$AC$943,4,FALSE),0)</f>
        <v>0</v>
      </c>
      <c r="F29" s="508">
        <f>IFERROR(VLOOKUP(E29,Planilha!$B$10:$AC$943,4,FALSE),0)</f>
        <v>0</v>
      </c>
      <c r="G29" s="75" t="str">
        <f>IFERROR(VLOOKUP(B29,Fontes!$A$9:$AC$6124,3,FALSE),0)</f>
        <v>un</v>
      </c>
      <c r="H29" s="75">
        <v>1</v>
      </c>
      <c r="I29" s="77">
        <v>950</v>
      </c>
      <c r="J29" s="77">
        <v>750</v>
      </c>
      <c r="K29" s="77">
        <v>890</v>
      </c>
      <c r="L29" s="77">
        <v>700</v>
      </c>
      <c r="M29" s="77">
        <v>800</v>
      </c>
      <c r="N29" s="78">
        <f t="shared" si="0"/>
        <v>818</v>
      </c>
      <c r="O29" s="58"/>
      <c r="P29" s="18"/>
      <c r="Q29" s="18"/>
      <c r="R29" s="18">
        <f t="shared" si="1"/>
        <v>818</v>
      </c>
    </row>
    <row r="30" spans="1:19" x14ac:dyDescent="0.2">
      <c r="B30" s="83" t="s">
        <v>151</v>
      </c>
      <c r="C30" s="74">
        <v>7</v>
      </c>
      <c r="D30" s="506" t="str">
        <f>IFERROR(VLOOKUP(B30,Fontes!$A$9:$AC$6124,2,FALSE),0)</f>
        <v>Taxa de retirada para container</v>
      </c>
      <c r="E30" s="507">
        <f>IFERROR(VLOOKUP(D30,Planilha!$B$10:$AC$943,4,FALSE),0)</f>
        <v>0</v>
      </c>
      <c r="F30" s="508">
        <f>IFERROR(VLOOKUP(E30,Planilha!$B$10:$AC$943,4,FALSE),0)</f>
        <v>0</v>
      </c>
      <c r="G30" s="75" t="str">
        <f>IFERROR(VLOOKUP(B30,Fontes!$A$9:$AC$6124,3,FALSE),0)</f>
        <v>un</v>
      </c>
      <c r="H30" s="75">
        <v>1</v>
      </c>
      <c r="I30" s="77">
        <v>950</v>
      </c>
      <c r="J30" s="77">
        <v>750</v>
      </c>
      <c r="K30" s="77">
        <v>890</v>
      </c>
      <c r="L30" s="77">
        <v>700</v>
      </c>
      <c r="M30" s="77">
        <v>800</v>
      </c>
      <c r="N30" s="78">
        <f t="shared" ref="N30" si="2">IFERROR(+AVERAGE(I30,J30,K30,L30,M30),0)</f>
        <v>818</v>
      </c>
      <c r="O30" s="58"/>
      <c r="P30" s="18"/>
      <c r="Q30" s="18"/>
      <c r="R30" s="18">
        <f t="shared" si="1"/>
        <v>818</v>
      </c>
    </row>
    <row r="31" spans="1:19" ht="15.75" thickBot="1" x14ac:dyDescent="0.25">
      <c r="C31" s="79"/>
      <c r="D31" s="493"/>
      <c r="E31" s="494"/>
      <c r="F31" s="495"/>
      <c r="G31" s="80"/>
      <c r="H31" s="80"/>
      <c r="I31" s="81"/>
      <c r="J31" s="81"/>
      <c r="K31" s="81"/>
      <c r="L31" s="81"/>
      <c r="M31" s="81"/>
      <c r="N31" s="82"/>
      <c r="O31" s="58"/>
    </row>
    <row r="32" spans="1:19" x14ac:dyDescent="0.2">
      <c r="O32" s="58"/>
    </row>
    <row r="33" spans="1:19" ht="15.75" thickBot="1" x14ac:dyDescent="0.25">
      <c r="O33" s="58"/>
    </row>
    <row r="34" spans="1:19" s="49" customFormat="1" ht="15.75" thickBot="1" x14ac:dyDescent="0.25">
      <c r="A34" s="87"/>
      <c r="B34" s="87"/>
      <c r="C34" s="46" t="s">
        <v>42</v>
      </c>
      <c r="D34" s="47"/>
      <c r="E34" s="47"/>
      <c r="F34" s="47"/>
      <c r="G34" s="47"/>
      <c r="H34" s="48"/>
      <c r="I34" s="48"/>
      <c r="J34" s="48"/>
      <c r="K34" s="48"/>
      <c r="L34" s="48"/>
      <c r="M34" s="48"/>
      <c r="N34" s="48"/>
      <c r="O34" s="58"/>
      <c r="S34" s="50"/>
    </row>
    <row r="35" spans="1:19" s="49" customFormat="1" ht="12.75" x14ac:dyDescent="0.2">
      <c r="A35" s="87"/>
      <c r="B35" s="87"/>
      <c r="C35" s="551"/>
      <c r="D35" s="551"/>
      <c r="E35" s="551"/>
      <c r="F35" s="551"/>
      <c r="G35" s="551"/>
      <c r="H35" s="551"/>
      <c r="I35" s="551"/>
      <c r="J35" s="551"/>
      <c r="K35" s="551"/>
      <c r="L35" s="551"/>
      <c r="M35" s="551"/>
      <c r="N35" s="551"/>
      <c r="O35" s="59"/>
      <c r="S35" s="50"/>
    </row>
    <row r="36" spans="1:19" s="49" customFormat="1" ht="12.75" x14ac:dyDescent="0.2">
      <c r="A36" s="87"/>
      <c r="B36" s="87"/>
      <c r="C36" s="497"/>
      <c r="D36" s="497"/>
      <c r="E36" s="497"/>
      <c r="F36" s="497"/>
      <c r="G36" s="497"/>
      <c r="H36" s="497"/>
      <c r="I36" s="497"/>
      <c r="J36" s="497"/>
      <c r="K36" s="497"/>
      <c r="L36" s="497"/>
      <c r="M36" s="497"/>
      <c r="N36" s="497"/>
      <c r="O36" s="59"/>
      <c r="S36" s="50"/>
    </row>
    <row r="37" spans="1:19" s="49" customFormat="1" ht="12.75" x14ac:dyDescent="0.2">
      <c r="A37" s="87"/>
      <c r="B37" s="87"/>
      <c r="C37" s="497"/>
      <c r="D37" s="497"/>
      <c r="E37" s="497"/>
      <c r="F37" s="497"/>
      <c r="G37" s="497"/>
      <c r="H37" s="497"/>
      <c r="I37" s="497"/>
      <c r="J37" s="497"/>
      <c r="K37" s="497"/>
      <c r="L37" s="497"/>
      <c r="M37" s="497"/>
      <c r="N37" s="497"/>
      <c r="O37" s="59"/>
      <c r="S37" s="50"/>
    </row>
    <row r="38" spans="1:19" s="49" customFormat="1" ht="12.75" x14ac:dyDescent="0.2">
      <c r="A38" s="87"/>
      <c r="B38" s="87"/>
      <c r="C38" s="497"/>
      <c r="D38" s="497"/>
      <c r="E38" s="497"/>
      <c r="F38" s="497"/>
      <c r="G38" s="497"/>
      <c r="H38" s="497"/>
      <c r="I38" s="497"/>
      <c r="J38" s="497"/>
      <c r="K38" s="497"/>
      <c r="L38" s="497"/>
      <c r="M38" s="497"/>
      <c r="N38" s="497"/>
      <c r="O38" s="59"/>
      <c r="S38" s="50"/>
    </row>
    <row r="39" spans="1:19" s="49" customFormat="1" ht="13.5" thickBot="1" x14ac:dyDescent="0.25">
      <c r="A39" s="87"/>
      <c r="B39" s="87"/>
      <c r="C39" s="498"/>
      <c r="D39" s="498"/>
      <c r="E39" s="498"/>
      <c r="F39" s="498"/>
      <c r="G39" s="498"/>
      <c r="H39" s="498"/>
      <c r="I39" s="498"/>
      <c r="J39" s="498"/>
      <c r="K39" s="498"/>
      <c r="L39" s="498"/>
      <c r="M39" s="498"/>
      <c r="N39" s="498"/>
      <c r="O39" s="59"/>
      <c r="S39" s="50"/>
    </row>
    <row r="40" spans="1:19" s="1" customFormat="1" ht="22.5" x14ac:dyDescent="0.2">
      <c r="C40" s="22"/>
      <c r="D40" s="22"/>
      <c r="E40" s="23"/>
      <c r="F40" s="23"/>
      <c r="G40" s="24"/>
      <c r="H40" s="24"/>
      <c r="I40" s="24"/>
      <c r="J40" s="24"/>
      <c r="K40" s="24"/>
      <c r="L40" s="24"/>
      <c r="M40" s="24"/>
      <c r="N40" s="24"/>
      <c r="O40" s="54"/>
      <c r="P40" s="15"/>
      <c r="Q40" s="64"/>
      <c r="S40" s="2"/>
    </row>
    <row r="41" spans="1:19" s="1" customFormat="1" ht="22.5" x14ac:dyDescent="0.2">
      <c r="C41" s="25"/>
      <c r="D41" s="25"/>
      <c r="E41" s="552" t="str">
        <f>$Q$3</f>
        <v>CENTRO DE REFERÊNCIA EM GEOCIÊNCIAS</v>
      </c>
      <c r="F41" s="545"/>
      <c r="G41" s="546" t="s">
        <v>32</v>
      </c>
      <c r="H41" s="547"/>
      <c r="I41" s="547"/>
      <c r="J41" s="547"/>
      <c r="K41" s="547"/>
      <c r="L41" s="548"/>
      <c r="M41" s="3" t="s">
        <v>47</v>
      </c>
      <c r="N41" s="13">
        <f>$Q$2</f>
        <v>44666</v>
      </c>
      <c r="O41" s="54"/>
      <c r="P41" s="15"/>
      <c r="Q41" s="16"/>
      <c r="S41" s="2"/>
    </row>
    <row r="42" spans="1:19" s="1" customFormat="1" ht="22.5" x14ac:dyDescent="0.2">
      <c r="C42" s="25"/>
      <c r="D42" s="25"/>
      <c r="E42" s="549" t="str">
        <f>$Q$4</f>
        <v>Avenida Pasteur, 404 - Urca - Rio de Janeiro / RJ</v>
      </c>
      <c r="F42" s="550"/>
      <c r="G42" s="546"/>
      <c r="H42" s="547"/>
      <c r="I42" s="547"/>
      <c r="J42" s="547"/>
      <c r="K42" s="547"/>
      <c r="L42" s="548"/>
      <c r="M42" s="4" t="s">
        <v>33</v>
      </c>
      <c r="N42" s="5" t="str">
        <f>$Q$5</f>
        <v>Piffer</v>
      </c>
      <c r="O42" s="54"/>
      <c r="P42" s="15"/>
      <c r="Q42" s="16"/>
      <c r="S42" s="2"/>
    </row>
    <row r="43" spans="1:19" s="1" customFormat="1" ht="23.25" thickBot="1" x14ac:dyDescent="0.25">
      <c r="C43" s="26"/>
      <c r="D43" s="26"/>
      <c r="E43" s="27"/>
      <c r="F43" s="28"/>
      <c r="G43" s="29"/>
      <c r="H43" s="29"/>
      <c r="I43" s="29"/>
      <c r="J43" s="29"/>
      <c r="K43" s="29"/>
      <c r="L43" s="29"/>
      <c r="M43" s="29"/>
      <c r="N43" s="29"/>
      <c r="O43" s="54"/>
      <c r="S43" s="2"/>
    </row>
    <row r="44" spans="1:19" s="10" customFormat="1" ht="12" thickBot="1" x14ac:dyDescent="0.25">
      <c r="C44" s="6"/>
      <c r="D44" s="6"/>
      <c r="E44" s="6"/>
      <c r="F44" s="7"/>
      <c r="G44" s="8"/>
      <c r="H44" s="8"/>
      <c r="I44" s="9"/>
      <c r="N44" s="4"/>
      <c r="O44" s="55"/>
      <c r="S44" s="11"/>
    </row>
    <row r="45" spans="1:19" s="34" customFormat="1" ht="16.5" thickBot="1" x14ac:dyDescent="0.25">
      <c r="A45" s="84"/>
      <c r="B45" s="84"/>
      <c r="C45" s="30">
        <v>2</v>
      </c>
      <c r="D45" s="31" t="s">
        <v>218</v>
      </c>
      <c r="E45" s="32"/>
      <c r="F45" s="32"/>
      <c r="G45" s="32"/>
      <c r="H45" s="32"/>
      <c r="I45" s="32"/>
      <c r="J45" s="32"/>
      <c r="K45" s="32"/>
      <c r="L45" s="32"/>
      <c r="M45" s="32"/>
      <c r="N45" s="33"/>
      <c r="O45" s="56"/>
      <c r="S45" s="35"/>
    </row>
    <row r="46" spans="1:19" s="40" customFormat="1" ht="16.5" customHeight="1" thickBot="1" x14ac:dyDescent="0.25">
      <c r="A46" s="85"/>
      <c r="B46" s="85"/>
      <c r="C46" s="36" t="s">
        <v>22</v>
      </c>
      <c r="D46" s="37" t="s">
        <v>219</v>
      </c>
      <c r="E46" s="38"/>
      <c r="F46" s="38"/>
      <c r="G46" s="38"/>
      <c r="H46" s="38"/>
      <c r="I46" s="38"/>
      <c r="J46" s="38"/>
      <c r="K46" s="38"/>
      <c r="L46" s="38"/>
      <c r="M46" s="38"/>
      <c r="N46" s="39"/>
      <c r="O46" s="57"/>
      <c r="S46" s="41"/>
    </row>
    <row r="47" spans="1:19" s="10" customFormat="1" ht="11.25" x14ac:dyDescent="0.2">
      <c r="C47" s="6"/>
      <c r="D47" s="6"/>
      <c r="E47" s="6"/>
      <c r="F47" s="7"/>
      <c r="G47" s="8"/>
      <c r="H47" s="8"/>
      <c r="I47" s="9"/>
      <c r="M47" s="4"/>
      <c r="N47" s="5"/>
      <c r="O47" s="55"/>
      <c r="S47" s="11"/>
    </row>
    <row r="48" spans="1:19" ht="18" thickBot="1" x14ac:dyDescent="0.25">
      <c r="C48" s="66" t="s">
        <v>34</v>
      </c>
      <c r="D48" s="537" t="s">
        <v>220</v>
      </c>
      <c r="E48" s="538"/>
      <c r="F48" s="539"/>
      <c r="G48" s="540" t="s">
        <v>35</v>
      </c>
      <c r="H48" s="541"/>
      <c r="I48" s="42" t="s">
        <v>221</v>
      </c>
      <c r="J48" s="66" t="s">
        <v>36</v>
      </c>
      <c r="K48" s="542" t="s">
        <v>222</v>
      </c>
      <c r="L48" s="543"/>
      <c r="M48" s="66" t="s">
        <v>37</v>
      </c>
      <c r="N48" s="43">
        <v>44650</v>
      </c>
      <c r="O48" s="58"/>
    </row>
    <row r="49" spans="1:23" ht="18.75" thickTop="1" thickBot="1" x14ac:dyDescent="0.25">
      <c r="C49" s="66" t="s">
        <v>34</v>
      </c>
      <c r="D49" s="530" t="s">
        <v>226</v>
      </c>
      <c r="E49" s="531"/>
      <c r="F49" s="532"/>
      <c r="G49" s="533" t="s">
        <v>35</v>
      </c>
      <c r="H49" s="534"/>
      <c r="I49" s="44" t="s">
        <v>228</v>
      </c>
      <c r="J49" s="66" t="s">
        <v>36</v>
      </c>
      <c r="K49" s="535" t="s">
        <v>227</v>
      </c>
      <c r="L49" s="536"/>
      <c r="M49" s="66" t="s">
        <v>37</v>
      </c>
      <c r="N49" s="45">
        <v>44650</v>
      </c>
      <c r="O49" s="58"/>
    </row>
    <row r="50" spans="1:23" ht="18.75" thickTop="1" thickBot="1" x14ac:dyDescent="0.25">
      <c r="C50" s="66" t="s">
        <v>34</v>
      </c>
      <c r="D50" s="530" t="s">
        <v>258</v>
      </c>
      <c r="E50" s="531"/>
      <c r="F50" s="532"/>
      <c r="G50" s="533" t="s">
        <v>35</v>
      </c>
      <c r="H50" s="534"/>
      <c r="I50" s="44" t="s">
        <v>229</v>
      </c>
      <c r="J50" s="66" t="s">
        <v>36</v>
      </c>
      <c r="K50" s="535" t="s">
        <v>259</v>
      </c>
      <c r="L50" s="536"/>
      <c r="M50" s="66" t="s">
        <v>37</v>
      </c>
      <c r="N50" s="45">
        <v>44672</v>
      </c>
      <c r="O50" s="58"/>
    </row>
    <row r="51" spans="1:23" ht="18.75" thickTop="1" thickBot="1" x14ac:dyDescent="0.25">
      <c r="C51" s="66" t="s">
        <v>34</v>
      </c>
      <c r="D51" s="530" t="s">
        <v>234</v>
      </c>
      <c r="E51" s="531"/>
      <c r="F51" s="532"/>
      <c r="G51" s="533" t="s">
        <v>35</v>
      </c>
      <c r="H51" s="534"/>
      <c r="I51" s="44" t="s">
        <v>235</v>
      </c>
      <c r="J51" s="66" t="s">
        <v>36</v>
      </c>
      <c r="K51" s="535" t="s">
        <v>236</v>
      </c>
      <c r="L51" s="536"/>
      <c r="M51" s="66" t="s">
        <v>37</v>
      </c>
      <c r="N51" s="45">
        <v>44673</v>
      </c>
      <c r="O51" s="58"/>
    </row>
    <row r="52" spans="1:23" ht="18.75" thickTop="1" thickBot="1" x14ac:dyDescent="0.25">
      <c r="C52" s="66" t="s">
        <v>34</v>
      </c>
      <c r="D52" s="530"/>
      <c r="E52" s="531"/>
      <c r="F52" s="532"/>
      <c r="G52" s="533" t="s">
        <v>35</v>
      </c>
      <c r="H52" s="534"/>
      <c r="I52" s="44"/>
      <c r="J52" s="66" t="s">
        <v>36</v>
      </c>
      <c r="K52" s="535"/>
      <c r="L52" s="536"/>
      <c r="M52" s="66" t="s">
        <v>37</v>
      </c>
      <c r="N52" s="45"/>
      <c r="O52" s="58"/>
    </row>
    <row r="53" spans="1:23" ht="16.5" thickTop="1" thickBot="1" x14ac:dyDescent="0.25">
      <c r="O53" s="58"/>
    </row>
    <row r="54" spans="1:23" ht="15" customHeight="1" x14ac:dyDescent="0.2">
      <c r="C54" s="509" t="s">
        <v>19</v>
      </c>
      <c r="D54" s="499" t="s">
        <v>7</v>
      </c>
      <c r="E54" s="512"/>
      <c r="F54" s="500"/>
      <c r="G54" s="519" t="s">
        <v>30</v>
      </c>
      <c r="H54" s="522" t="s">
        <v>38</v>
      </c>
      <c r="I54" s="202" t="s">
        <v>39</v>
      </c>
      <c r="J54" s="202" t="s">
        <v>39</v>
      </c>
      <c r="K54" s="202" t="s">
        <v>39</v>
      </c>
      <c r="L54" s="202" t="s">
        <v>39</v>
      </c>
      <c r="M54" s="202" t="s">
        <v>39</v>
      </c>
      <c r="N54" s="525" t="s">
        <v>40</v>
      </c>
      <c r="O54" s="58"/>
    </row>
    <row r="55" spans="1:23" x14ac:dyDescent="0.2">
      <c r="C55" s="510"/>
      <c r="D55" s="513"/>
      <c r="E55" s="514"/>
      <c r="F55" s="515"/>
      <c r="G55" s="520"/>
      <c r="H55" s="523"/>
      <c r="I55" s="12" t="str">
        <f>D48</f>
        <v>TENGEL</v>
      </c>
      <c r="J55" s="12" t="str">
        <f>D49</f>
        <v>GEOFIX</v>
      </c>
      <c r="K55" s="12" t="str">
        <f>D50</f>
        <v>MJ PERFURA SOLO</v>
      </c>
      <c r="L55" s="12" t="str">
        <f>D51</f>
        <v>WYDE</v>
      </c>
      <c r="M55" s="12">
        <f>D52</f>
        <v>0</v>
      </c>
      <c r="N55" s="526"/>
      <c r="O55" s="58"/>
    </row>
    <row r="56" spans="1:23" ht="15" customHeight="1" x14ac:dyDescent="0.2">
      <c r="C56" s="510"/>
      <c r="D56" s="513"/>
      <c r="E56" s="514"/>
      <c r="F56" s="515"/>
      <c r="G56" s="520"/>
      <c r="H56" s="523"/>
      <c r="I56" s="528" t="s">
        <v>41</v>
      </c>
      <c r="J56" s="528" t="s">
        <v>41</v>
      </c>
      <c r="K56" s="528" t="s">
        <v>41</v>
      </c>
      <c r="L56" s="528" t="s">
        <v>41</v>
      </c>
      <c r="M56" s="528" t="s">
        <v>41</v>
      </c>
      <c r="N56" s="526"/>
      <c r="O56" s="58"/>
    </row>
    <row r="57" spans="1:23" ht="15.75" thickBot="1" x14ac:dyDescent="0.25">
      <c r="C57" s="511"/>
      <c r="D57" s="516"/>
      <c r="E57" s="517"/>
      <c r="F57" s="518"/>
      <c r="G57" s="521"/>
      <c r="H57" s="524"/>
      <c r="I57" s="529"/>
      <c r="J57" s="529"/>
      <c r="K57" s="529"/>
      <c r="L57" s="529"/>
      <c r="M57" s="529"/>
      <c r="N57" s="527"/>
      <c r="O57" s="58"/>
    </row>
    <row r="58" spans="1:23" ht="15.75" thickBot="1" x14ac:dyDescent="0.25">
      <c r="O58" s="58"/>
      <c r="P58" s="200" t="s">
        <v>79</v>
      </c>
      <c r="Q58" s="200" t="s">
        <v>89</v>
      </c>
      <c r="R58" s="200" t="s">
        <v>90</v>
      </c>
    </row>
    <row r="59" spans="1:23" s="67" customFormat="1" x14ac:dyDescent="0.2">
      <c r="A59" s="86"/>
      <c r="B59" s="86"/>
      <c r="C59" s="68"/>
      <c r="D59" s="503"/>
      <c r="E59" s="504"/>
      <c r="F59" s="505"/>
      <c r="G59" s="69"/>
      <c r="H59" s="69"/>
      <c r="I59" s="70"/>
      <c r="J59" s="70"/>
      <c r="K59" s="70"/>
      <c r="L59" s="70"/>
      <c r="M59" s="70"/>
      <c r="N59" s="71"/>
      <c r="O59" s="72"/>
      <c r="P59" s="53"/>
      <c r="Q59" s="17"/>
      <c r="R59" s="17"/>
      <c r="S59" s="73"/>
    </row>
    <row r="60" spans="1:23" x14ac:dyDescent="0.2">
      <c r="B60" s="83" t="s">
        <v>152</v>
      </c>
      <c r="C60" s="74">
        <v>1</v>
      </c>
      <c r="D60" s="506" t="str">
        <f>IFERROR(VLOOKUP(B60,Fontes!$A$9:$AC$6124,2,FALSE),0)</f>
        <v>Taxa de mobilização para equipamento de estaca raiz</v>
      </c>
      <c r="E60" s="507">
        <f>IFERROR(VLOOKUP(D60,Planilha!$B$10:$AC$943,4,FALSE),0)</f>
        <v>0</v>
      </c>
      <c r="F60" s="508">
        <f>IFERROR(VLOOKUP(E60,Planilha!$B$10:$AC$943,4,FALSE),0)</f>
        <v>0</v>
      </c>
      <c r="G60" s="75" t="str">
        <f>IFERROR(VLOOKUP(B60,Fontes!$A$9:$AC$6124,3,FALSE),0)</f>
        <v>un</v>
      </c>
      <c r="H60" s="76">
        <v>1</v>
      </c>
      <c r="I60" s="77">
        <f>11000*1.03</f>
        <v>11330</v>
      </c>
      <c r="J60" s="77">
        <f>29600*1.03</f>
        <v>30488</v>
      </c>
      <c r="K60" s="77">
        <v>8500</v>
      </c>
      <c r="L60" s="77">
        <v>20000</v>
      </c>
      <c r="M60" s="77"/>
      <c r="N60" s="78">
        <f>IFERROR(+AVERAGE(I60,J60,K60,L60,M60),0)</f>
        <v>17579.5</v>
      </c>
      <c r="O60" s="58"/>
      <c r="P60" s="18"/>
      <c r="Q60" s="18"/>
      <c r="R60" s="18">
        <f>N60</f>
        <v>17579.5</v>
      </c>
      <c r="S60" s="18">
        <v>123840</v>
      </c>
      <c r="T60" s="17">
        <f>S60/$S$62</f>
        <v>0.22361257820752417</v>
      </c>
      <c r="U60" s="17">
        <f>90000*T60</f>
        <v>20125.132038677177</v>
      </c>
      <c r="V60" s="18">
        <f>S60+U60</f>
        <v>143965.13203867717</v>
      </c>
      <c r="W60" s="17">
        <f>V60/720</f>
        <v>199.95157227594052</v>
      </c>
    </row>
    <row r="61" spans="1:23" ht="15" customHeight="1" x14ac:dyDescent="0.2">
      <c r="B61" s="83" t="s">
        <v>153</v>
      </c>
      <c r="C61" s="74">
        <v>2</v>
      </c>
      <c r="D61" s="506" t="str">
        <f>IFERROR(VLOOKUP(B61,Fontes!$A$9:$AC$6124,2,FALSE),0)</f>
        <v>Execução de estaca raiz Ø 250 mm em terra</v>
      </c>
      <c r="E61" s="507">
        <f>IFERROR(VLOOKUP(D61,Planilha!$B$10:$AC$943,4,FALSE),0)</f>
        <v>0</v>
      </c>
      <c r="F61" s="508">
        <f>IFERROR(VLOOKUP(E61,Planilha!$B$10:$AC$943,4,FALSE),0)</f>
        <v>0</v>
      </c>
      <c r="G61" s="75" t="str">
        <f>IFERROR(VLOOKUP(B61,Fontes!$A$9:$AC$6124,3,FALSE),0)</f>
        <v>m</v>
      </c>
      <c r="H61" s="76">
        <v>1</v>
      </c>
      <c r="I61" s="77">
        <f>155*1.03</f>
        <v>159.65</v>
      </c>
      <c r="J61" s="77">
        <f>199.95*1.03</f>
        <v>205.9485</v>
      </c>
      <c r="K61" s="77">
        <v>140</v>
      </c>
      <c r="L61" s="77">
        <f>204+(12960/720)</f>
        <v>222</v>
      </c>
      <c r="M61" s="77"/>
      <c r="N61" s="78">
        <f t="shared" ref="N61:N67" si="3">IFERROR(+AVERAGE(I61,J61,K61,L61,M61),0)</f>
        <v>181.89962500000001</v>
      </c>
      <c r="O61" s="58"/>
      <c r="P61" s="18"/>
      <c r="Q61" s="18"/>
      <c r="R61" s="18">
        <f t="shared" ref="R61:R67" si="4">N61</f>
        <v>181.89962500000001</v>
      </c>
      <c r="S61" s="18">
        <v>429975</v>
      </c>
      <c r="T61" s="17">
        <f>S61/$S$62</f>
        <v>0.77638742179247577</v>
      </c>
      <c r="U61" s="17">
        <f>90000*T61</f>
        <v>69874.867961322816</v>
      </c>
      <c r="V61" s="18">
        <f>S61+U61</f>
        <v>499849.86796132283</v>
      </c>
      <c r="W61" s="17">
        <f>V61/2047.5</f>
        <v>244.1269196392297</v>
      </c>
    </row>
    <row r="62" spans="1:23" x14ac:dyDescent="0.2">
      <c r="B62" s="83" t="s">
        <v>154</v>
      </c>
      <c r="C62" s="74">
        <v>3</v>
      </c>
      <c r="D62" s="506" t="str">
        <f>IFERROR(VLOOKUP(B62,Fontes!$A$9:$AC$6124,2,FALSE),0)</f>
        <v>Execução de estaca raiz Ø 310 mm em terra</v>
      </c>
      <c r="E62" s="507">
        <f>IFERROR(VLOOKUP(D62,Planilha!$B$10:$AC$943,4,FALSE),0)</f>
        <v>0</v>
      </c>
      <c r="F62" s="508">
        <f>IFERROR(VLOOKUP(E62,Planilha!$B$10:$AC$943,4,FALSE),0)</f>
        <v>0</v>
      </c>
      <c r="G62" s="75" t="str">
        <f>IFERROR(VLOOKUP(B62,Fontes!$A$9:$AC$6124,3,FALSE),0)</f>
        <v>m</v>
      </c>
      <c r="H62" s="76">
        <v>1</v>
      </c>
      <c r="I62" s="77">
        <f>165*1.03</f>
        <v>169.95000000000002</v>
      </c>
      <c r="J62" s="77">
        <f>244.13*1.03</f>
        <v>251.4539</v>
      </c>
      <c r="K62" s="77">
        <v>167</v>
      </c>
      <c r="L62" s="77">
        <f>225+(58980/2047.5)</f>
        <v>253.80586080586082</v>
      </c>
      <c r="M62" s="77"/>
      <c r="N62" s="78">
        <f t="shared" si="3"/>
        <v>210.5524402014652</v>
      </c>
      <c r="O62" s="58"/>
      <c r="P62" s="18"/>
      <c r="Q62" s="18"/>
      <c r="R62" s="18">
        <f t="shared" si="4"/>
        <v>210.5524402014652</v>
      </c>
      <c r="S62" s="18">
        <f>SUM(S60:S61)</f>
        <v>553815</v>
      </c>
      <c r="V62" s="18">
        <f>SUM(V60:V61)</f>
        <v>643815</v>
      </c>
    </row>
    <row r="63" spans="1:23" x14ac:dyDescent="0.2">
      <c r="C63" s="74"/>
      <c r="D63" s="506"/>
      <c r="E63" s="507"/>
      <c r="F63" s="508"/>
      <c r="G63" s="75"/>
      <c r="H63" s="76"/>
      <c r="I63" s="77"/>
      <c r="J63" s="77"/>
      <c r="K63" s="77"/>
      <c r="L63" s="77"/>
      <c r="M63" s="77"/>
      <c r="N63" s="78">
        <f t="shared" si="3"/>
        <v>0</v>
      </c>
      <c r="O63" s="58"/>
      <c r="P63" s="18"/>
      <c r="Q63" s="18"/>
      <c r="R63" s="18">
        <f t="shared" si="4"/>
        <v>0</v>
      </c>
    </row>
    <row r="64" spans="1:23" ht="27" customHeight="1" x14ac:dyDescent="0.2">
      <c r="C64" s="74"/>
      <c r="D64" s="506"/>
      <c r="E64" s="507"/>
      <c r="F64" s="508"/>
      <c r="G64" s="75"/>
      <c r="H64" s="76"/>
      <c r="I64" s="77"/>
      <c r="J64" s="77"/>
      <c r="K64" s="77"/>
      <c r="L64" s="77"/>
      <c r="M64" s="77"/>
      <c r="N64" s="78">
        <f t="shared" si="3"/>
        <v>0</v>
      </c>
      <c r="O64" s="58"/>
      <c r="P64" s="18"/>
      <c r="Q64" s="18"/>
      <c r="R64" s="18">
        <f t="shared" si="4"/>
        <v>0</v>
      </c>
    </row>
    <row r="65" spans="1:19" x14ac:dyDescent="0.2">
      <c r="C65" s="74"/>
      <c r="D65" s="506"/>
      <c r="E65" s="507"/>
      <c r="F65" s="508"/>
      <c r="G65" s="75"/>
      <c r="H65" s="75"/>
      <c r="I65" s="77"/>
      <c r="J65" s="77"/>
      <c r="K65" s="77"/>
      <c r="L65" s="77"/>
      <c r="M65" s="77"/>
      <c r="N65" s="78">
        <f t="shared" si="3"/>
        <v>0</v>
      </c>
      <c r="O65" s="58"/>
      <c r="P65" s="18"/>
      <c r="Q65" s="18"/>
      <c r="R65" s="18">
        <f t="shared" si="4"/>
        <v>0</v>
      </c>
    </row>
    <row r="66" spans="1:19" x14ac:dyDescent="0.2">
      <c r="C66" s="74"/>
      <c r="D66" s="506"/>
      <c r="E66" s="507"/>
      <c r="F66" s="508"/>
      <c r="G66" s="75"/>
      <c r="H66" s="75"/>
      <c r="I66" s="77"/>
      <c r="J66" s="77"/>
      <c r="K66" s="77"/>
      <c r="L66" s="77"/>
      <c r="M66" s="77"/>
      <c r="N66" s="78">
        <f t="shared" si="3"/>
        <v>0</v>
      </c>
      <c r="O66" s="58"/>
      <c r="P66" s="18"/>
      <c r="Q66" s="18"/>
      <c r="R66" s="18">
        <f t="shared" si="4"/>
        <v>0</v>
      </c>
    </row>
    <row r="67" spans="1:19" x14ac:dyDescent="0.2">
      <c r="C67" s="74"/>
      <c r="D67" s="506"/>
      <c r="E67" s="507"/>
      <c r="F67" s="508"/>
      <c r="G67" s="75"/>
      <c r="H67" s="75"/>
      <c r="I67" s="77"/>
      <c r="J67" s="77"/>
      <c r="K67" s="77"/>
      <c r="L67" s="77"/>
      <c r="M67" s="77"/>
      <c r="N67" s="78">
        <f t="shared" si="3"/>
        <v>0</v>
      </c>
      <c r="O67" s="58"/>
      <c r="P67" s="18"/>
      <c r="Q67" s="18"/>
      <c r="R67" s="18">
        <f t="shared" si="4"/>
        <v>0</v>
      </c>
    </row>
    <row r="68" spans="1:19" ht="15.75" thickBot="1" x14ac:dyDescent="0.25">
      <c r="C68" s="79"/>
      <c r="D68" s="493"/>
      <c r="E68" s="494"/>
      <c r="F68" s="495"/>
      <c r="G68" s="80"/>
      <c r="H68" s="80"/>
      <c r="I68" s="81"/>
      <c r="J68" s="81"/>
      <c r="K68" s="81"/>
      <c r="L68" s="81"/>
      <c r="M68" s="81"/>
      <c r="N68" s="82"/>
      <c r="O68" s="58"/>
    </row>
    <row r="69" spans="1:19" x14ac:dyDescent="0.2">
      <c r="O69" s="58"/>
    </row>
    <row r="70" spans="1:19" ht="15.75" thickBot="1" x14ac:dyDescent="0.25">
      <c r="O70" s="58"/>
    </row>
    <row r="71" spans="1:19" s="49" customFormat="1" ht="15.75" thickBot="1" x14ac:dyDescent="0.25">
      <c r="A71" s="87"/>
      <c r="B71" s="87"/>
      <c r="C71" s="46" t="s">
        <v>42</v>
      </c>
      <c r="D71" s="47"/>
      <c r="E71" s="47"/>
      <c r="F71" s="47"/>
      <c r="G71" s="47"/>
      <c r="H71" s="48"/>
      <c r="I71" s="48"/>
      <c r="J71" s="48"/>
      <c r="K71" s="48"/>
      <c r="L71" s="48"/>
      <c r="M71" s="48"/>
      <c r="N71" s="48"/>
      <c r="O71" s="58"/>
      <c r="S71" s="50"/>
    </row>
    <row r="72" spans="1:19" s="49" customFormat="1" ht="12.75" x14ac:dyDescent="0.2">
      <c r="A72" s="87"/>
      <c r="B72" s="87"/>
      <c r="C72" s="551"/>
      <c r="D72" s="551"/>
      <c r="E72" s="551"/>
      <c r="F72" s="551"/>
      <c r="G72" s="551"/>
      <c r="H72" s="551"/>
      <c r="I72" s="551"/>
      <c r="J72" s="551"/>
      <c r="K72" s="551"/>
      <c r="L72" s="551"/>
      <c r="M72" s="551"/>
      <c r="N72" s="551"/>
      <c r="O72" s="59"/>
      <c r="S72" s="50"/>
    </row>
    <row r="73" spans="1:19" s="49" customFormat="1" ht="12.75" x14ac:dyDescent="0.2">
      <c r="A73" s="87"/>
      <c r="B73" s="87"/>
      <c r="C73" s="497"/>
      <c r="D73" s="497"/>
      <c r="E73" s="497"/>
      <c r="F73" s="497"/>
      <c r="G73" s="497"/>
      <c r="H73" s="497"/>
      <c r="I73" s="497"/>
      <c r="J73" s="497"/>
      <c r="K73" s="497"/>
      <c r="L73" s="497"/>
      <c r="M73" s="497"/>
      <c r="N73" s="497"/>
      <c r="O73" s="59"/>
      <c r="S73" s="50"/>
    </row>
    <row r="74" spans="1:19" s="49" customFormat="1" ht="12.75" x14ac:dyDescent="0.2">
      <c r="A74" s="87"/>
      <c r="B74" s="87"/>
      <c r="C74" s="497"/>
      <c r="D74" s="497"/>
      <c r="E74" s="497"/>
      <c r="F74" s="497"/>
      <c r="G74" s="497"/>
      <c r="H74" s="497"/>
      <c r="I74" s="497"/>
      <c r="J74" s="497"/>
      <c r="K74" s="497"/>
      <c r="L74" s="497"/>
      <c r="M74" s="497"/>
      <c r="N74" s="497"/>
      <c r="O74" s="59"/>
      <c r="S74" s="50"/>
    </row>
    <row r="75" spans="1:19" s="49" customFormat="1" ht="12.75" x14ac:dyDescent="0.2">
      <c r="A75" s="87"/>
      <c r="B75" s="87"/>
      <c r="C75" s="497"/>
      <c r="D75" s="497"/>
      <c r="E75" s="497"/>
      <c r="F75" s="497"/>
      <c r="G75" s="497"/>
      <c r="H75" s="497"/>
      <c r="I75" s="497"/>
      <c r="J75" s="497"/>
      <c r="K75" s="497"/>
      <c r="L75" s="497"/>
      <c r="M75" s="497"/>
      <c r="N75" s="497"/>
      <c r="O75" s="59"/>
      <c r="S75" s="50"/>
    </row>
    <row r="76" spans="1:19" s="49" customFormat="1" ht="13.5" thickBot="1" x14ac:dyDescent="0.25">
      <c r="A76" s="87"/>
      <c r="B76" s="87"/>
      <c r="C76" s="498"/>
      <c r="D76" s="498"/>
      <c r="E76" s="498"/>
      <c r="F76" s="498"/>
      <c r="G76" s="498"/>
      <c r="H76" s="498"/>
      <c r="I76" s="498"/>
      <c r="J76" s="498"/>
      <c r="K76" s="498"/>
      <c r="L76" s="498"/>
      <c r="M76" s="498"/>
      <c r="N76" s="498"/>
      <c r="O76" s="59"/>
      <c r="S76" s="50"/>
    </row>
    <row r="77" spans="1:19" s="1" customFormat="1" ht="22.5" x14ac:dyDescent="0.2">
      <c r="C77" s="22"/>
      <c r="D77" s="22"/>
      <c r="E77" s="23"/>
      <c r="F77" s="23"/>
      <c r="G77" s="24"/>
      <c r="H77" s="24"/>
      <c r="I77" s="24"/>
      <c r="J77" s="24"/>
      <c r="K77" s="24"/>
      <c r="L77" s="24"/>
      <c r="M77" s="24"/>
      <c r="N77" s="24"/>
      <c r="O77" s="54"/>
      <c r="P77" s="15"/>
      <c r="Q77" s="64"/>
      <c r="S77" s="2"/>
    </row>
    <row r="78" spans="1:19" s="1" customFormat="1" ht="22.5" x14ac:dyDescent="0.2">
      <c r="C78" s="25"/>
      <c r="D78" s="25"/>
      <c r="E78" s="552" t="str">
        <f>$Q$3</f>
        <v>CENTRO DE REFERÊNCIA EM GEOCIÊNCIAS</v>
      </c>
      <c r="F78" s="545"/>
      <c r="G78" s="546" t="s">
        <v>32</v>
      </c>
      <c r="H78" s="547"/>
      <c r="I78" s="547"/>
      <c r="J78" s="547"/>
      <c r="K78" s="547"/>
      <c r="L78" s="548"/>
      <c r="M78" s="3" t="s">
        <v>47</v>
      </c>
      <c r="N78" s="13">
        <f>$Q$2</f>
        <v>44666</v>
      </c>
      <c r="O78" s="54"/>
      <c r="P78" s="15"/>
      <c r="Q78" s="16"/>
      <c r="S78" s="2"/>
    </row>
    <row r="79" spans="1:19" s="1" customFormat="1" ht="22.5" x14ac:dyDescent="0.2">
      <c r="C79" s="25"/>
      <c r="D79" s="25"/>
      <c r="E79" s="549" t="str">
        <f>$Q$4</f>
        <v>Avenida Pasteur, 404 - Urca - Rio de Janeiro / RJ</v>
      </c>
      <c r="F79" s="550"/>
      <c r="G79" s="546"/>
      <c r="H79" s="547"/>
      <c r="I79" s="547"/>
      <c r="J79" s="547"/>
      <c r="K79" s="547"/>
      <c r="L79" s="548"/>
      <c r="M79" s="4" t="s">
        <v>33</v>
      </c>
      <c r="N79" s="5" t="str">
        <f>$Q$5</f>
        <v>Piffer</v>
      </c>
      <c r="O79" s="54"/>
      <c r="P79" s="15"/>
      <c r="Q79" s="16"/>
      <c r="S79" s="2"/>
    </row>
    <row r="80" spans="1:19" s="1" customFormat="1" ht="23.25" thickBot="1" x14ac:dyDescent="0.25">
      <c r="C80" s="26"/>
      <c r="D80" s="26"/>
      <c r="E80" s="27"/>
      <c r="F80" s="28"/>
      <c r="G80" s="29"/>
      <c r="H80" s="29"/>
      <c r="I80" s="29"/>
      <c r="J80" s="29"/>
      <c r="K80" s="29"/>
      <c r="L80" s="29"/>
      <c r="M80" s="29"/>
      <c r="N80" s="29"/>
      <c r="O80" s="54"/>
      <c r="S80" s="2"/>
    </row>
    <row r="81" spans="1:19" s="10" customFormat="1" ht="12" thickBot="1" x14ac:dyDescent="0.25">
      <c r="C81" s="6"/>
      <c r="D81" s="6"/>
      <c r="E81" s="6"/>
      <c r="F81" s="7"/>
      <c r="G81" s="8"/>
      <c r="H81" s="8"/>
      <c r="I81" s="9"/>
      <c r="N81" s="4"/>
      <c r="O81" s="55"/>
      <c r="S81" s="11"/>
    </row>
    <row r="82" spans="1:19" s="34" customFormat="1" ht="16.5" thickBot="1" x14ac:dyDescent="0.25">
      <c r="A82" s="84"/>
      <c r="B82" s="84"/>
      <c r="C82" s="30">
        <v>3</v>
      </c>
      <c r="D82" s="31" t="s">
        <v>218</v>
      </c>
      <c r="E82" s="32"/>
      <c r="F82" s="32"/>
      <c r="G82" s="32"/>
      <c r="H82" s="32"/>
      <c r="I82" s="32"/>
      <c r="J82" s="32"/>
      <c r="K82" s="32"/>
      <c r="L82" s="32"/>
      <c r="M82" s="32"/>
      <c r="N82" s="33"/>
      <c r="O82" s="56"/>
      <c r="S82" s="35"/>
    </row>
    <row r="83" spans="1:19" s="40" customFormat="1" ht="16.5" customHeight="1" thickBot="1" x14ac:dyDescent="0.25">
      <c r="A83" s="85"/>
      <c r="B83" s="85"/>
      <c r="C83" s="36" t="s">
        <v>249</v>
      </c>
      <c r="D83" s="37" t="s">
        <v>230</v>
      </c>
      <c r="E83" s="38"/>
      <c r="F83" s="38"/>
      <c r="G83" s="38"/>
      <c r="H83" s="38"/>
      <c r="I83" s="38"/>
      <c r="J83" s="38"/>
      <c r="K83" s="38"/>
      <c r="L83" s="38"/>
      <c r="M83" s="38"/>
      <c r="N83" s="39"/>
      <c r="O83" s="57"/>
      <c r="S83" s="41"/>
    </row>
    <row r="84" spans="1:19" s="10" customFormat="1" ht="11.25" x14ac:dyDescent="0.2">
      <c r="C84" s="6"/>
      <c r="D84" s="6"/>
      <c r="E84" s="6"/>
      <c r="F84" s="7"/>
      <c r="G84" s="8"/>
      <c r="H84" s="8"/>
      <c r="I84" s="9"/>
      <c r="M84" s="4"/>
      <c r="N84" s="5"/>
      <c r="O84" s="55"/>
      <c r="S84" s="11"/>
    </row>
    <row r="85" spans="1:19" ht="18" thickBot="1" x14ac:dyDescent="0.25">
      <c r="C85" s="66" t="s">
        <v>34</v>
      </c>
      <c r="D85" s="537" t="s">
        <v>231</v>
      </c>
      <c r="E85" s="538"/>
      <c r="F85" s="539"/>
      <c r="G85" s="540" t="s">
        <v>35</v>
      </c>
      <c r="H85" s="541"/>
      <c r="I85" s="42" t="s">
        <v>232</v>
      </c>
      <c r="J85" s="66" t="s">
        <v>36</v>
      </c>
      <c r="K85" s="542" t="s">
        <v>233</v>
      </c>
      <c r="L85" s="543"/>
      <c r="M85" s="66" t="s">
        <v>37</v>
      </c>
      <c r="N85" s="43">
        <v>44670</v>
      </c>
      <c r="O85" s="58"/>
    </row>
    <row r="86" spans="1:19" ht="18.75" thickTop="1" thickBot="1" x14ac:dyDescent="0.25">
      <c r="C86" s="66" t="s">
        <v>34</v>
      </c>
      <c r="D86" s="530" t="s">
        <v>234</v>
      </c>
      <c r="E86" s="531"/>
      <c r="F86" s="532"/>
      <c r="G86" s="533" t="s">
        <v>35</v>
      </c>
      <c r="H86" s="534"/>
      <c r="I86" s="44" t="s">
        <v>235</v>
      </c>
      <c r="J86" s="66" t="s">
        <v>36</v>
      </c>
      <c r="K86" s="535" t="s">
        <v>236</v>
      </c>
      <c r="L86" s="536"/>
      <c r="M86" s="66" t="s">
        <v>37</v>
      </c>
      <c r="N86" s="45">
        <v>44673</v>
      </c>
      <c r="O86" s="58"/>
    </row>
    <row r="87" spans="1:19" ht="18.75" thickTop="1" thickBot="1" x14ac:dyDescent="0.25">
      <c r="C87" s="66" t="s">
        <v>34</v>
      </c>
      <c r="D87" s="530" t="s">
        <v>254</v>
      </c>
      <c r="E87" s="531"/>
      <c r="F87" s="532"/>
      <c r="G87" s="533" t="s">
        <v>35</v>
      </c>
      <c r="H87" s="534"/>
      <c r="I87" s="44" t="s">
        <v>256</v>
      </c>
      <c r="J87" s="66" t="s">
        <v>36</v>
      </c>
      <c r="K87" s="535" t="s">
        <v>255</v>
      </c>
      <c r="L87" s="536"/>
      <c r="M87" s="66" t="s">
        <v>37</v>
      </c>
      <c r="N87" s="45">
        <v>44663</v>
      </c>
      <c r="O87" s="58"/>
    </row>
    <row r="88" spans="1:19" ht="18.75" thickTop="1" thickBot="1" x14ac:dyDescent="0.25">
      <c r="C88" s="66" t="s">
        <v>34</v>
      </c>
      <c r="D88" s="530" t="s">
        <v>237</v>
      </c>
      <c r="E88" s="531"/>
      <c r="F88" s="532"/>
      <c r="G88" s="533" t="s">
        <v>35</v>
      </c>
      <c r="H88" s="534"/>
      <c r="I88" s="44"/>
      <c r="J88" s="66" t="s">
        <v>36</v>
      </c>
      <c r="K88" s="535" t="s">
        <v>239</v>
      </c>
      <c r="L88" s="536"/>
      <c r="M88" s="66" t="s">
        <v>37</v>
      </c>
      <c r="N88" s="45"/>
      <c r="O88" s="58"/>
    </row>
    <row r="89" spans="1:19" ht="18.75" thickTop="1" thickBot="1" x14ac:dyDescent="0.25">
      <c r="C89" s="66" t="s">
        <v>34</v>
      </c>
      <c r="D89" s="530" t="s">
        <v>238</v>
      </c>
      <c r="E89" s="531"/>
      <c r="F89" s="532"/>
      <c r="G89" s="533" t="s">
        <v>35</v>
      </c>
      <c r="H89" s="534"/>
      <c r="I89" s="44"/>
      <c r="J89" s="66" t="s">
        <v>36</v>
      </c>
      <c r="K89" s="535" t="s">
        <v>240</v>
      </c>
      <c r="L89" s="536"/>
      <c r="M89" s="66" t="s">
        <v>37</v>
      </c>
      <c r="N89" s="45"/>
      <c r="O89" s="58"/>
    </row>
    <row r="90" spans="1:19" ht="16.5" thickTop="1" thickBot="1" x14ac:dyDescent="0.25">
      <c r="O90" s="58"/>
    </row>
    <row r="91" spans="1:19" ht="15" customHeight="1" x14ac:dyDescent="0.2">
      <c r="C91" s="509" t="s">
        <v>19</v>
      </c>
      <c r="D91" s="499" t="s">
        <v>7</v>
      </c>
      <c r="E91" s="512"/>
      <c r="F91" s="500"/>
      <c r="G91" s="519" t="s">
        <v>30</v>
      </c>
      <c r="H91" s="522" t="s">
        <v>38</v>
      </c>
      <c r="I91" s="202" t="s">
        <v>39</v>
      </c>
      <c r="J91" s="202" t="s">
        <v>39</v>
      </c>
      <c r="K91" s="202" t="s">
        <v>39</v>
      </c>
      <c r="L91" s="202" t="s">
        <v>39</v>
      </c>
      <c r="M91" s="202" t="s">
        <v>39</v>
      </c>
      <c r="N91" s="525" t="s">
        <v>40</v>
      </c>
      <c r="O91" s="58"/>
    </row>
    <row r="92" spans="1:19" x14ac:dyDescent="0.2">
      <c r="C92" s="510"/>
      <c r="D92" s="513"/>
      <c r="E92" s="514"/>
      <c r="F92" s="515"/>
      <c r="G92" s="520"/>
      <c r="H92" s="523"/>
      <c r="I92" s="12" t="str">
        <f>D85</f>
        <v>BRAS CONTEC</v>
      </c>
      <c r="J92" s="12" t="str">
        <f>D86</f>
        <v>WYDE</v>
      </c>
      <c r="K92" s="12" t="str">
        <f>D87</f>
        <v>SOLOCONSULT</v>
      </c>
      <c r="L92" s="12" t="str">
        <f>D88</f>
        <v>CEDRO</v>
      </c>
      <c r="M92" s="12" t="str">
        <f>D89</f>
        <v>TESTGEO</v>
      </c>
      <c r="N92" s="526"/>
      <c r="O92" s="58"/>
    </row>
    <row r="93" spans="1:19" ht="15" customHeight="1" x14ac:dyDescent="0.2">
      <c r="C93" s="510"/>
      <c r="D93" s="513"/>
      <c r="E93" s="514"/>
      <c r="F93" s="515"/>
      <c r="G93" s="520"/>
      <c r="H93" s="523"/>
      <c r="I93" s="528" t="s">
        <v>41</v>
      </c>
      <c r="J93" s="528" t="s">
        <v>41</v>
      </c>
      <c r="K93" s="528" t="s">
        <v>41</v>
      </c>
      <c r="L93" s="528" t="s">
        <v>41</v>
      </c>
      <c r="M93" s="528" t="s">
        <v>41</v>
      </c>
      <c r="N93" s="526"/>
      <c r="O93" s="58"/>
    </row>
    <row r="94" spans="1:19" ht="15.75" thickBot="1" x14ac:dyDescent="0.25">
      <c r="C94" s="511"/>
      <c r="D94" s="516"/>
      <c r="E94" s="517"/>
      <c r="F94" s="518"/>
      <c r="G94" s="521"/>
      <c r="H94" s="524"/>
      <c r="I94" s="529"/>
      <c r="J94" s="529"/>
      <c r="K94" s="529"/>
      <c r="L94" s="529"/>
      <c r="M94" s="529"/>
      <c r="N94" s="527"/>
      <c r="O94" s="58"/>
    </row>
    <row r="95" spans="1:19" ht="15.75" thickBot="1" x14ac:dyDescent="0.25">
      <c r="O95" s="58"/>
      <c r="P95" s="200" t="s">
        <v>79</v>
      </c>
      <c r="Q95" s="200" t="s">
        <v>89</v>
      </c>
      <c r="R95" s="200" t="s">
        <v>90</v>
      </c>
    </row>
    <row r="96" spans="1:19" s="67" customFormat="1" x14ac:dyDescent="0.2">
      <c r="A96" s="86"/>
      <c r="B96" s="86"/>
      <c r="C96" s="68"/>
      <c r="D96" s="503"/>
      <c r="E96" s="504"/>
      <c r="F96" s="505"/>
      <c r="G96" s="69"/>
      <c r="H96" s="69"/>
      <c r="I96" s="70"/>
      <c r="J96" s="70"/>
      <c r="K96" s="70"/>
      <c r="L96" s="70"/>
      <c r="M96" s="70"/>
      <c r="N96" s="71"/>
      <c r="O96" s="72"/>
      <c r="P96" s="53"/>
      <c r="Q96" s="17"/>
      <c r="R96" s="17"/>
      <c r="S96" s="73"/>
    </row>
    <row r="97" spans="1:22" ht="27.75" customHeight="1" x14ac:dyDescent="0.2">
      <c r="B97" s="83" t="s">
        <v>155</v>
      </c>
      <c r="C97" s="74">
        <v>1</v>
      </c>
      <c r="D97" s="506" t="str">
        <f>IFERROR(VLOOKUP(B97,Fontes!$A$9:$AC$6124,2,FALSE),0)</f>
        <v>Mobilização e desmobilização de equipe e equipamentos para execução de prova de carga em estacas</v>
      </c>
      <c r="E97" s="507">
        <f>IFERROR(VLOOKUP(D97,Planilha!$B$10:$AC$943,4,FALSE),0)</f>
        <v>0</v>
      </c>
      <c r="F97" s="508">
        <f>IFERROR(VLOOKUP(E97,Planilha!$B$10:$AC$943,4,FALSE),0)</f>
        <v>0</v>
      </c>
      <c r="G97" s="75" t="str">
        <f>IFERROR(VLOOKUP(B97,Fontes!$A$9:$AC$6124,3,FALSE),0)</f>
        <v>un</v>
      </c>
      <c r="H97" s="76">
        <v>1</v>
      </c>
      <c r="I97" s="77">
        <v>6000</v>
      </c>
      <c r="J97" s="77">
        <v>15000</v>
      </c>
      <c r="K97" s="77">
        <v>13400</v>
      </c>
      <c r="L97" s="77"/>
      <c r="M97" s="77"/>
      <c r="N97" s="78">
        <f>IFERROR(+AVERAGE(I97,J97,K97,L97,M97),0)</f>
        <v>11466.666666666666</v>
      </c>
      <c r="O97" s="58"/>
      <c r="P97" s="18"/>
      <c r="Q97" s="18"/>
      <c r="R97" s="18">
        <f>N97</f>
        <v>11466.666666666666</v>
      </c>
      <c r="V97" s="18"/>
    </row>
    <row r="98" spans="1:22" ht="15" customHeight="1" x14ac:dyDescent="0.2">
      <c r="B98" s="83" t="s">
        <v>156</v>
      </c>
      <c r="C98" s="74">
        <v>2</v>
      </c>
      <c r="D98" s="553" t="str">
        <f>IFERROR(VLOOKUP(B98,Fontes!$A$9:$AC$6124,2,FALSE),0)</f>
        <v>Elaboração de projeto de prova de carga</v>
      </c>
      <c r="E98" s="554">
        <f>IFERROR(VLOOKUP(D98,Planilha!$B$10:$AC$943,4,FALSE),0)</f>
        <v>0</v>
      </c>
      <c r="F98" s="555">
        <f>IFERROR(VLOOKUP(E98,Planilha!$B$10:$AC$943,4,FALSE),0)</f>
        <v>0</v>
      </c>
      <c r="G98" s="75" t="str">
        <f>IFERROR(VLOOKUP(B98,Fontes!$A$9:$AC$6124,3,FALSE),0)</f>
        <v>un</v>
      </c>
      <c r="H98" s="76">
        <v>1</v>
      </c>
      <c r="I98" s="77" t="str">
        <f>J98</f>
        <v>INCLUSO</v>
      </c>
      <c r="J98" s="77" t="str">
        <f>K98</f>
        <v>INCLUSO</v>
      </c>
      <c r="K98" s="77" t="s">
        <v>257</v>
      </c>
      <c r="L98" s="77"/>
      <c r="M98" s="77"/>
      <c r="N98" s="78">
        <f t="shared" ref="N98:N104" si="5">IFERROR(+AVERAGE(I98,J98,K98,L98,M98),0)</f>
        <v>0</v>
      </c>
      <c r="O98" s="58"/>
      <c r="P98" s="18">
        <f>N98</f>
        <v>0</v>
      </c>
      <c r="Q98" s="18"/>
      <c r="R98" s="18"/>
      <c r="V98" s="18"/>
    </row>
    <row r="99" spans="1:22" x14ac:dyDescent="0.2">
      <c r="B99" s="83" t="s">
        <v>157</v>
      </c>
      <c r="C99" s="74">
        <v>3</v>
      </c>
      <c r="D99" s="506" t="str">
        <f>IFERROR(VLOOKUP(B99,Fontes!$A$9:$AC$6124,2,FALSE),0)</f>
        <v>Execução de prova de carga em estaca raiz incluindo ART, PPRA e PCMSO</v>
      </c>
      <c r="E99" s="507">
        <f>IFERROR(VLOOKUP(D99,Planilha!$B$10:$AC$943,4,FALSE),0)</f>
        <v>0</v>
      </c>
      <c r="F99" s="508">
        <f>IFERROR(VLOOKUP(E99,Planilha!$B$10:$AC$943,4,FALSE),0)</f>
        <v>0</v>
      </c>
      <c r="G99" s="75" t="str">
        <f>IFERROR(VLOOKUP(B99,Fontes!$A$9:$AC$6124,3,FALSE),0)</f>
        <v>un</v>
      </c>
      <c r="H99" s="76">
        <v>1</v>
      </c>
      <c r="I99" s="77">
        <f>11000+130+1800+1100</f>
        <v>14030</v>
      </c>
      <c r="J99" s="77">
        <v>10000</v>
      </c>
      <c r="K99" s="77">
        <f>5133.6+1600.8+3950+1950</f>
        <v>12634.400000000001</v>
      </c>
      <c r="L99" s="77"/>
      <c r="M99" s="77"/>
      <c r="N99" s="78">
        <f t="shared" si="5"/>
        <v>12221.466666666667</v>
      </c>
      <c r="O99" s="58"/>
      <c r="P99" s="18"/>
      <c r="Q99" s="18">
        <f>N99</f>
        <v>12221.466666666667</v>
      </c>
      <c r="R99" s="18"/>
      <c r="V99" s="18"/>
    </row>
    <row r="100" spans="1:22" x14ac:dyDescent="0.2">
      <c r="C100" s="74"/>
      <c r="D100" s="506"/>
      <c r="E100" s="507"/>
      <c r="F100" s="508"/>
      <c r="G100" s="75"/>
      <c r="H100" s="76"/>
      <c r="I100" s="77"/>
      <c r="J100" s="77"/>
      <c r="K100" s="77"/>
      <c r="L100" s="77"/>
      <c r="M100" s="77"/>
      <c r="N100" s="78">
        <f t="shared" si="5"/>
        <v>0</v>
      </c>
      <c r="O100" s="58"/>
      <c r="P100" s="18"/>
      <c r="Q100" s="18"/>
      <c r="R100" s="18">
        <f t="shared" ref="R100:R104" si="6">N100</f>
        <v>0</v>
      </c>
    </row>
    <row r="101" spans="1:22" ht="27" customHeight="1" x14ac:dyDescent="0.2">
      <c r="C101" s="74"/>
      <c r="D101" s="506"/>
      <c r="E101" s="507"/>
      <c r="F101" s="508"/>
      <c r="G101" s="75"/>
      <c r="H101" s="76"/>
      <c r="I101" s="77"/>
      <c r="J101" s="77"/>
      <c r="K101" s="77"/>
      <c r="L101" s="77"/>
      <c r="M101" s="77"/>
      <c r="N101" s="78">
        <f t="shared" si="5"/>
        <v>0</v>
      </c>
      <c r="O101" s="58"/>
      <c r="P101" s="18"/>
      <c r="Q101" s="18"/>
      <c r="R101" s="18">
        <f t="shared" si="6"/>
        <v>0</v>
      </c>
    </row>
    <row r="102" spans="1:22" x14ac:dyDescent="0.2">
      <c r="C102" s="74"/>
      <c r="D102" s="506"/>
      <c r="E102" s="507"/>
      <c r="F102" s="508"/>
      <c r="G102" s="75"/>
      <c r="H102" s="75"/>
      <c r="I102" s="77"/>
      <c r="J102" s="77"/>
      <c r="K102" s="77"/>
      <c r="L102" s="77"/>
      <c r="M102" s="77"/>
      <c r="N102" s="78">
        <f t="shared" si="5"/>
        <v>0</v>
      </c>
      <c r="O102" s="58"/>
      <c r="P102" s="18"/>
      <c r="Q102" s="18"/>
      <c r="R102" s="18">
        <f t="shared" si="6"/>
        <v>0</v>
      </c>
    </row>
    <row r="103" spans="1:22" x14ac:dyDescent="0.2">
      <c r="C103" s="74"/>
      <c r="D103" s="506"/>
      <c r="E103" s="507"/>
      <c r="F103" s="508"/>
      <c r="G103" s="75"/>
      <c r="H103" s="75"/>
      <c r="I103" s="77"/>
      <c r="J103" s="77"/>
      <c r="K103" s="77"/>
      <c r="L103" s="77"/>
      <c r="M103" s="77"/>
      <c r="N103" s="78">
        <f t="shared" si="5"/>
        <v>0</v>
      </c>
      <c r="O103" s="58"/>
      <c r="P103" s="18"/>
      <c r="Q103" s="18"/>
      <c r="R103" s="18">
        <f t="shared" si="6"/>
        <v>0</v>
      </c>
    </row>
    <row r="104" spans="1:22" x14ac:dyDescent="0.2">
      <c r="C104" s="74"/>
      <c r="D104" s="506"/>
      <c r="E104" s="507"/>
      <c r="F104" s="508"/>
      <c r="G104" s="75"/>
      <c r="H104" s="75"/>
      <c r="I104" s="77"/>
      <c r="J104" s="77"/>
      <c r="K104" s="77"/>
      <c r="L104" s="77"/>
      <c r="M104" s="77"/>
      <c r="N104" s="78">
        <f t="shared" si="5"/>
        <v>0</v>
      </c>
      <c r="O104" s="58"/>
      <c r="P104" s="18"/>
      <c r="Q104" s="18"/>
      <c r="R104" s="18">
        <f t="shared" si="6"/>
        <v>0</v>
      </c>
    </row>
    <row r="105" spans="1:22" ht="15.75" thickBot="1" x14ac:dyDescent="0.25">
      <c r="C105" s="79"/>
      <c r="D105" s="493"/>
      <c r="E105" s="494"/>
      <c r="F105" s="495"/>
      <c r="G105" s="80"/>
      <c r="H105" s="80"/>
      <c r="I105" s="81"/>
      <c r="J105" s="81"/>
      <c r="K105" s="81"/>
      <c r="L105" s="81"/>
      <c r="M105" s="81"/>
      <c r="N105" s="82"/>
      <c r="O105" s="58"/>
    </row>
    <row r="106" spans="1:22" x14ac:dyDescent="0.2">
      <c r="O106" s="58"/>
    </row>
    <row r="107" spans="1:22" ht="15.75" thickBot="1" x14ac:dyDescent="0.25">
      <c r="O107" s="58"/>
    </row>
    <row r="108" spans="1:22" s="49" customFormat="1" ht="15.75" thickBot="1" x14ac:dyDescent="0.25">
      <c r="A108" s="87"/>
      <c r="B108" s="87"/>
      <c r="C108" s="46" t="s">
        <v>42</v>
      </c>
      <c r="D108" s="47"/>
      <c r="E108" s="47"/>
      <c r="F108" s="47"/>
      <c r="G108" s="47"/>
      <c r="H108" s="48"/>
      <c r="I108" s="48"/>
      <c r="J108" s="48"/>
      <c r="K108" s="48"/>
      <c r="L108" s="48"/>
      <c r="M108" s="48"/>
      <c r="N108" s="48"/>
      <c r="O108" s="58"/>
      <c r="S108" s="50"/>
    </row>
    <row r="109" spans="1:22" s="49" customFormat="1" ht="13.5" thickBot="1" x14ac:dyDescent="0.25">
      <c r="A109" s="87"/>
      <c r="B109" s="87"/>
      <c r="C109" s="551"/>
      <c r="D109" s="551"/>
      <c r="E109" s="551"/>
      <c r="F109" s="551"/>
      <c r="G109" s="551"/>
      <c r="H109" s="551"/>
      <c r="I109" s="551"/>
      <c r="J109" s="551"/>
      <c r="K109" s="551"/>
      <c r="L109" s="551"/>
      <c r="M109" s="551"/>
      <c r="N109" s="551"/>
      <c r="O109" s="59"/>
      <c r="S109" s="50"/>
    </row>
    <row r="110" spans="1:22" s="1" customFormat="1" ht="22.5" x14ac:dyDescent="0.2">
      <c r="C110" s="22"/>
      <c r="D110" s="22"/>
      <c r="E110" s="23"/>
      <c r="F110" s="23"/>
      <c r="G110" s="24"/>
      <c r="H110" s="24"/>
      <c r="I110" s="24"/>
      <c r="J110" s="24"/>
      <c r="K110" s="24"/>
      <c r="L110" s="24"/>
      <c r="M110" s="24"/>
      <c r="N110" s="24"/>
      <c r="O110" s="54"/>
      <c r="P110" s="15"/>
      <c r="Q110" s="64"/>
      <c r="S110" s="2"/>
    </row>
    <row r="111" spans="1:22" s="1" customFormat="1" ht="22.5" x14ac:dyDescent="0.2">
      <c r="C111" s="25"/>
      <c r="D111" s="25"/>
      <c r="E111" s="552" t="str">
        <f>$Q$3</f>
        <v>CENTRO DE REFERÊNCIA EM GEOCIÊNCIAS</v>
      </c>
      <c r="F111" s="545"/>
      <c r="G111" s="546" t="s">
        <v>32</v>
      </c>
      <c r="H111" s="547"/>
      <c r="I111" s="547"/>
      <c r="J111" s="547"/>
      <c r="K111" s="547"/>
      <c r="L111" s="548"/>
      <c r="M111" s="3" t="s">
        <v>47</v>
      </c>
      <c r="N111" s="13">
        <f>$Q$2</f>
        <v>44666</v>
      </c>
      <c r="O111" s="54"/>
      <c r="P111" s="15"/>
      <c r="Q111" s="16"/>
      <c r="S111" s="2"/>
    </row>
    <row r="112" spans="1:22" s="1" customFormat="1" ht="22.5" x14ac:dyDescent="0.2">
      <c r="C112" s="25"/>
      <c r="D112" s="25"/>
      <c r="E112" s="549" t="str">
        <f>$Q$4</f>
        <v>Avenida Pasteur, 404 - Urca - Rio de Janeiro / RJ</v>
      </c>
      <c r="F112" s="550"/>
      <c r="G112" s="546"/>
      <c r="H112" s="547"/>
      <c r="I112" s="547"/>
      <c r="J112" s="547"/>
      <c r="K112" s="547"/>
      <c r="L112" s="548"/>
      <c r="M112" s="4" t="s">
        <v>33</v>
      </c>
      <c r="N112" s="5" t="str">
        <f>$Q$5</f>
        <v>Piffer</v>
      </c>
      <c r="O112" s="54"/>
      <c r="P112" s="15"/>
      <c r="Q112" s="16"/>
      <c r="S112" s="2"/>
    </row>
    <row r="113" spans="1:19" s="1" customFormat="1" ht="23.25" thickBot="1" x14ac:dyDescent="0.25">
      <c r="C113" s="26"/>
      <c r="D113" s="26"/>
      <c r="E113" s="27"/>
      <c r="F113" s="28"/>
      <c r="G113" s="29"/>
      <c r="H113" s="29"/>
      <c r="I113" s="29"/>
      <c r="J113" s="29"/>
      <c r="K113" s="29"/>
      <c r="L113" s="29"/>
      <c r="M113" s="29"/>
      <c r="N113" s="29"/>
      <c r="O113" s="54"/>
      <c r="S113" s="2"/>
    </row>
    <row r="114" spans="1:19" s="10" customFormat="1" ht="12" thickBot="1" x14ac:dyDescent="0.25">
      <c r="C114" s="6"/>
      <c r="D114" s="6"/>
      <c r="E114" s="6"/>
      <c r="F114" s="7"/>
      <c r="G114" s="8"/>
      <c r="H114" s="8"/>
      <c r="I114" s="9"/>
      <c r="N114" s="4"/>
      <c r="O114" s="55"/>
      <c r="S114" s="11"/>
    </row>
    <row r="115" spans="1:19" s="34" customFormat="1" ht="16.5" thickBot="1" x14ac:dyDescent="0.25">
      <c r="A115" s="84"/>
      <c r="B115" s="84"/>
      <c r="C115" s="30">
        <v>4</v>
      </c>
      <c r="D115" s="31" t="s">
        <v>248</v>
      </c>
      <c r="E115" s="32"/>
      <c r="F115" s="32"/>
      <c r="G115" s="32"/>
      <c r="H115" s="32"/>
      <c r="I115" s="32"/>
      <c r="J115" s="32"/>
      <c r="K115" s="32"/>
      <c r="L115" s="32"/>
      <c r="M115" s="32"/>
      <c r="N115" s="33"/>
      <c r="O115" s="56"/>
      <c r="S115" s="35"/>
    </row>
    <row r="116" spans="1:19" s="40" customFormat="1" ht="16.5" customHeight="1" thickBot="1" x14ac:dyDescent="0.25">
      <c r="A116" s="85"/>
      <c r="B116" s="85"/>
      <c r="C116" s="36" t="s">
        <v>555</v>
      </c>
      <c r="D116" s="37" t="s">
        <v>250</v>
      </c>
      <c r="E116" s="38"/>
      <c r="F116" s="38"/>
      <c r="G116" s="38"/>
      <c r="H116" s="38"/>
      <c r="I116" s="38"/>
      <c r="J116" s="38"/>
      <c r="K116" s="38"/>
      <c r="L116" s="38"/>
      <c r="M116" s="38"/>
      <c r="N116" s="39"/>
      <c r="O116" s="57"/>
      <c r="S116" s="41"/>
    </row>
    <row r="117" spans="1:19" s="10" customFormat="1" ht="11.25" x14ac:dyDescent="0.2">
      <c r="C117" s="6"/>
      <c r="D117" s="6"/>
      <c r="E117" s="6"/>
      <c r="F117" s="7"/>
      <c r="G117" s="8"/>
      <c r="H117" s="8"/>
      <c r="I117" s="9"/>
      <c r="M117" s="4"/>
      <c r="N117" s="5"/>
      <c r="O117" s="55"/>
      <c r="S117" s="11"/>
    </row>
    <row r="118" spans="1:19" ht="18" thickBot="1" x14ac:dyDescent="0.25">
      <c r="C118" s="66" t="s">
        <v>34</v>
      </c>
      <c r="D118" s="537" t="s">
        <v>251</v>
      </c>
      <c r="E118" s="538"/>
      <c r="F118" s="539"/>
      <c r="G118" s="540" t="s">
        <v>35</v>
      </c>
      <c r="H118" s="541"/>
      <c r="I118" s="42" t="s">
        <v>252</v>
      </c>
      <c r="J118" s="66" t="s">
        <v>36</v>
      </c>
      <c r="K118" s="542" t="s">
        <v>253</v>
      </c>
      <c r="L118" s="543"/>
      <c r="M118" s="66" t="s">
        <v>37</v>
      </c>
      <c r="N118" s="43">
        <v>44664</v>
      </c>
      <c r="O118" s="58"/>
    </row>
    <row r="119" spans="1:19" ht="18.75" thickTop="1" thickBot="1" x14ac:dyDescent="0.25">
      <c r="C119" s="66" t="s">
        <v>34</v>
      </c>
      <c r="D119" s="537" t="s">
        <v>220</v>
      </c>
      <c r="E119" s="538"/>
      <c r="F119" s="539"/>
      <c r="G119" s="540" t="s">
        <v>35</v>
      </c>
      <c r="H119" s="541"/>
      <c r="I119" s="42" t="s">
        <v>221</v>
      </c>
      <c r="J119" s="66" t="s">
        <v>36</v>
      </c>
      <c r="K119" s="542" t="s">
        <v>222</v>
      </c>
      <c r="L119" s="543"/>
      <c r="M119" s="66" t="s">
        <v>37</v>
      </c>
      <c r="N119" s="43">
        <v>44650</v>
      </c>
      <c r="O119" s="58"/>
    </row>
    <row r="120" spans="1:19" ht="17.25" x14ac:dyDescent="0.2">
      <c r="C120" s="66" t="s">
        <v>34</v>
      </c>
      <c r="D120" s="530" t="s">
        <v>263</v>
      </c>
      <c r="E120" s="531"/>
      <c r="F120" s="532"/>
      <c r="G120" s="533" t="s">
        <v>35</v>
      </c>
      <c r="H120" s="534"/>
      <c r="I120" s="44" t="s">
        <v>265</v>
      </c>
      <c r="J120" s="66" t="s">
        <v>36</v>
      </c>
      <c r="K120" s="535" t="s">
        <v>264</v>
      </c>
      <c r="L120" s="536"/>
      <c r="M120" s="66" t="s">
        <v>37</v>
      </c>
      <c r="N120" s="45">
        <v>44676</v>
      </c>
      <c r="O120" s="58"/>
    </row>
    <row r="121" spans="1:19" ht="18.75" thickTop="1" thickBot="1" x14ac:dyDescent="0.25">
      <c r="C121" s="66" t="s">
        <v>34</v>
      </c>
      <c r="D121" s="530"/>
      <c r="E121" s="531"/>
      <c r="F121" s="532"/>
      <c r="G121" s="533" t="s">
        <v>35</v>
      </c>
      <c r="H121" s="534"/>
      <c r="I121" s="44"/>
      <c r="J121" s="66" t="s">
        <v>36</v>
      </c>
      <c r="K121" s="535"/>
      <c r="L121" s="536"/>
      <c r="M121" s="66" t="s">
        <v>37</v>
      </c>
      <c r="N121" s="45"/>
      <c r="O121" s="58"/>
    </row>
    <row r="122" spans="1:19" ht="18.75" thickTop="1" thickBot="1" x14ac:dyDescent="0.25">
      <c r="C122" s="66" t="s">
        <v>34</v>
      </c>
      <c r="D122" s="530"/>
      <c r="E122" s="531"/>
      <c r="F122" s="532"/>
      <c r="G122" s="533" t="s">
        <v>35</v>
      </c>
      <c r="H122" s="534"/>
      <c r="I122" s="44"/>
      <c r="J122" s="66" t="s">
        <v>36</v>
      </c>
      <c r="K122" s="535"/>
      <c r="L122" s="536"/>
      <c r="M122" s="66" t="s">
        <v>37</v>
      </c>
      <c r="N122" s="45"/>
      <c r="O122" s="58"/>
    </row>
    <row r="123" spans="1:19" ht="16.5" thickTop="1" thickBot="1" x14ac:dyDescent="0.25">
      <c r="O123" s="58"/>
    </row>
    <row r="124" spans="1:19" ht="15" customHeight="1" x14ac:dyDescent="0.2">
      <c r="C124" s="509" t="s">
        <v>19</v>
      </c>
      <c r="D124" s="499" t="s">
        <v>7</v>
      </c>
      <c r="E124" s="512"/>
      <c r="F124" s="500"/>
      <c r="G124" s="519" t="s">
        <v>30</v>
      </c>
      <c r="H124" s="522" t="s">
        <v>38</v>
      </c>
      <c r="I124" s="202" t="s">
        <v>39</v>
      </c>
      <c r="J124" s="202" t="s">
        <v>39</v>
      </c>
      <c r="K124" s="202" t="s">
        <v>39</v>
      </c>
      <c r="L124" s="202" t="s">
        <v>39</v>
      </c>
      <c r="M124" s="202" t="s">
        <v>39</v>
      </c>
      <c r="N124" s="525" t="s">
        <v>40</v>
      </c>
      <c r="O124" s="58"/>
    </row>
    <row r="125" spans="1:19" x14ac:dyDescent="0.2">
      <c r="C125" s="510"/>
      <c r="D125" s="513"/>
      <c r="E125" s="514"/>
      <c r="F125" s="515"/>
      <c r="G125" s="520"/>
      <c r="H125" s="523"/>
      <c r="I125" s="12" t="str">
        <f>D118</f>
        <v>SOLOTRAT</v>
      </c>
      <c r="J125" s="12" t="str">
        <f>D119</f>
        <v>TENGEL</v>
      </c>
      <c r="K125" s="12" t="str">
        <f>D120</f>
        <v>RIMENCO</v>
      </c>
      <c r="L125" s="12">
        <f>D121</f>
        <v>0</v>
      </c>
      <c r="M125" s="12">
        <f>D122</f>
        <v>0</v>
      </c>
      <c r="N125" s="526"/>
      <c r="O125" s="58"/>
    </row>
    <row r="126" spans="1:19" ht="15" customHeight="1" x14ac:dyDescent="0.2">
      <c r="C126" s="510"/>
      <c r="D126" s="513"/>
      <c r="E126" s="514"/>
      <c r="F126" s="515"/>
      <c r="G126" s="520"/>
      <c r="H126" s="523"/>
      <c r="I126" s="528" t="s">
        <v>41</v>
      </c>
      <c r="J126" s="528" t="s">
        <v>41</v>
      </c>
      <c r="K126" s="528" t="s">
        <v>41</v>
      </c>
      <c r="L126" s="528" t="s">
        <v>41</v>
      </c>
      <c r="M126" s="528" t="s">
        <v>41</v>
      </c>
      <c r="N126" s="526"/>
      <c r="O126" s="58"/>
    </row>
    <row r="127" spans="1:19" ht="15.75" thickBot="1" x14ac:dyDescent="0.25">
      <c r="C127" s="511"/>
      <c r="D127" s="516"/>
      <c r="E127" s="517"/>
      <c r="F127" s="518"/>
      <c r="G127" s="521"/>
      <c r="H127" s="524"/>
      <c r="I127" s="529"/>
      <c r="J127" s="529"/>
      <c r="K127" s="529"/>
      <c r="L127" s="529"/>
      <c r="M127" s="529"/>
      <c r="N127" s="527"/>
      <c r="O127" s="58"/>
    </row>
    <row r="128" spans="1:19" ht="15.75" thickBot="1" x14ac:dyDescent="0.25">
      <c r="O128" s="58"/>
      <c r="P128" s="200" t="s">
        <v>79</v>
      </c>
      <c r="Q128" s="200" t="s">
        <v>89</v>
      </c>
      <c r="R128" s="200" t="s">
        <v>90</v>
      </c>
    </row>
    <row r="129" spans="1:22" s="67" customFormat="1" x14ac:dyDescent="0.2">
      <c r="A129" s="86"/>
      <c r="B129" s="86"/>
      <c r="C129" s="68"/>
      <c r="D129" s="503"/>
      <c r="E129" s="504"/>
      <c r="F129" s="505"/>
      <c r="G129" s="69"/>
      <c r="H129" s="69"/>
      <c r="I129" s="70"/>
      <c r="J129" s="70"/>
      <c r="K129" s="70"/>
      <c r="L129" s="70"/>
      <c r="M129" s="70"/>
      <c r="N129" s="71"/>
      <c r="O129" s="72"/>
      <c r="P129" s="53"/>
      <c r="Q129" s="17"/>
      <c r="R129" s="17"/>
      <c r="S129" s="73"/>
    </row>
    <row r="130" spans="1:22" x14ac:dyDescent="0.2">
      <c r="B130" s="83" t="s">
        <v>158</v>
      </c>
      <c r="C130" s="74">
        <v>1</v>
      </c>
      <c r="D130" s="506" t="str">
        <f>IFERROR(VLOOKUP(B130,Fontes!$A$9:$AC$6124,2,FALSE),0)</f>
        <v>Mobilização e desmobilização de equipamentos para rebaixamento de lençol freático</v>
      </c>
      <c r="E130" s="507">
        <f>IFERROR(VLOOKUP(D130,Planilha!$B$10:$AC$943,4,FALSE),0)</f>
        <v>0</v>
      </c>
      <c r="F130" s="508">
        <f>IFERROR(VLOOKUP(E130,Planilha!$B$10:$AC$943,4,FALSE),0)</f>
        <v>0</v>
      </c>
      <c r="G130" s="75" t="str">
        <f>IFERROR(VLOOKUP(B130,Fontes!$A$9:$AC$6124,3,FALSE),0)</f>
        <v>un</v>
      </c>
      <c r="H130" s="76">
        <v>1</v>
      </c>
      <c r="I130" s="77">
        <f>(30000*1.05)/3</f>
        <v>10500</v>
      </c>
      <c r="J130" s="77">
        <v>8000</v>
      </c>
      <c r="K130" s="77">
        <v>4000</v>
      </c>
      <c r="L130" s="77"/>
      <c r="M130" s="77"/>
      <c r="N130" s="78">
        <f>IFERROR(+AVERAGE(I130,J130,K130,L130,M130),0)</f>
        <v>7500</v>
      </c>
      <c r="O130" s="58"/>
      <c r="P130" s="18"/>
      <c r="Q130" s="18"/>
      <c r="R130" s="18">
        <f>N130</f>
        <v>7500</v>
      </c>
      <c r="V130" s="18"/>
    </row>
    <row r="131" spans="1:22" ht="15" customHeight="1" x14ac:dyDescent="0.2">
      <c r="B131" s="83" t="s">
        <v>159</v>
      </c>
      <c r="C131" s="74">
        <v>2</v>
      </c>
      <c r="D131" s="506" t="str">
        <f>IFERROR(VLOOKUP(B131,Fontes!$A$9:$AC$6124,2,FALSE),0)</f>
        <v>Montagem e instalação de ponteiro filtrante à vácuo com até 5,00 m</v>
      </c>
      <c r="E131" s="507">
        <f>IFERROR(VLOOKUP(D131,Planilha!$B$10:$AC$943,4,FALSE),0)</f>
        <v>0</v>
      </c>
      <c r="F131" s="508">
        <f>IFERROR(VLOOKUP(E131,Planilha!$B$10:$AC$943,4,FALSE),0)</f>
        <v>0</v>
      </c>
      <c r="G131" s="75" t="s">
        <v>1175</v>
      </c>
      <c r="H131" s="76">
        <v>1</v>
      </c>
      <c r="I131" s="77">
        <f>(35000*1.05)/90</f>
        <v>408.33333333333331</v>
      </c>
      <c r="J131" s="77">
        <f>7500/30</f>
        <v>250</v>
      </c>
      <c r="K131" s="77">
        <f>15000/30</f>
        <v>500</v>
      </c>
      <c r="L131" s="77"/>
      <c r="M131" s="77"/>
      <c r="N131" s="78">
        <f t="shared" ref="N131:N137" si="7">IFERROR(+AVERAGE(I131,J131,K131,L131,M131),0)</f>
        <v>386.11111111111109</v>
      </c>
      <c r="O131" s="58"/>
      <c r="P131" s="18"/>
      <c r="Q131" s="18"/>
      <c r="R131" s="18">
        <f>N131</f>
        <v>386.11111111111109</v>
      </c>
      <c r="V131" s="18"/>
    </row>
    <row r="132" spans="1:22" x14ac:dyDescent="0.2">
      <c r="B132" s="83" t="s">
        <v>160</v>
      </c>
      <c r="C132" s="74">
        <v>3</v>
      </c>
      <c r="D132" s="506" t="str">
        <f>IFERROR(VLOOKUP(B132,Fontes!$A$9:$AC$6124,2,FALSE),0)</f>
        <v>Operação para até 3 conjuntos de rebaixamento incluindo manutenção e monitoramento</v>
      </c>
      <c r="E132" s="507">
        <f>IFERROR(VLOOKUP(D132,Planilha!$B$10:$AC$943,4,FALSE),0)</f>
        <v>0</v>
      </c>
      <c r="F132" s="508">
        <f>IFERROR(VLOOKUP(E132,Planilha!$B$10:$AC$943,4,FALSE),0)</f>
        <v>0</v>
      </c>
      <c r="G132" s="75" t="str">
        <f>IFERROR(VLOOKUP(B132,Fontes!$A$9:$AC$6124,3,FALSE),0)</f>
        <v>dia</v>
      </c>
      <c r="H132" s="76">
        <v>1</v>
      </c>
      <c r="I132" s="77">
        <f>(99000*1.05)/90</f>
        <v>1155</v>
      </c>
      <c r="J132" s="77">
        <f>23500/30</f>
        <v>783.33333333333337</v>
      </c>
      <c r="K132" s="77">
        <f>35000/30</f>
        <v>1166.6666666666667</v>
      </c>
      <c r="L132" s="77"/>
      <c r="M132" s="77"/>
      <c r="N132" s="78">
        <f t="shared" si="7"/>
        <v>1035</v>
      </c>
      <c r="O132" s="58"/>
      <c r="P132" s="18">
        <f>N132</f>
        <v>1035</v>
      </c>
      <c r="Q132" s="18"/>
      <c r="R132" s="18"/>
      <c r="V132" s="18"/>
    </row>
    <row r="133" spans="1:22" x14ac:dyDescent="0.2">
      <c r="C133" s="74"/>
      <c r="D133" s="506"/>
      <c r="E133" s="507"/>
      <c r="F133" s="508"/>
      <c r="G133" s="75"/>
      <c r="H133" s="76"/>
      <c r="I133" s="77"/>
      <c r="J133" s="77"/>
      <c r="K133" s="77"/>
      <c r="L133" s="77"/>
      <c r="M133" s="77"/>
      <c r="N133" s="78">
        <f t="shared" si="7"/>
        <v>0</v>
      </c>
      <c r="O133" s="58"/>
      <c r="P133" s="18"/>
      <c r="Q133" s="18"/>
      <c r="R133" s="18"/>
    </row>
    <row r="134" spans="1:22" ht="27" customHeight="1" x14ac:dyDescent="0.2">
      <c r="C134" s="74"/>
      <c r="D134" s="506"/>
      <c r="E134" s="507"/>
      <c r="F134" s="508"/>
      <c r="G134" s="75"/>
      <c r="H134" s="76"/>
      <c r="I134" s="77"/>
      <c r="J134" s="77"/>
      <c r="K134" s="77"/>
      <c r="L134" s="77"/>
      <c r="M134" s="77"/>
      <c r="N134" s="78">
        <f t="shared" si="7"/>
        <v>0</v>
      </c>
      <c r="O134" s="58"/>
      <c r="P134" s="18"/>
      <c r="Q134" s="18"/>
      <c r="R134" s="18"/>
    </row>
    <row r="135" spans="1:22" x14ac:dyDescent="0.2">
      <c r="C135" s="74"/>
      <c r="D135" s="506"/>
      <c r="E135" s="507"/>
      <c r="F135" s="508"/>
      <c r="G135" s="75"/>
      <c r="H135" s="75"/>
      <c r="I135" s="77"/>
      <c r="J135" s="77"/>
      <c r="K135" s="77"/>
      <c r="L135" s="77"/>
      <c r="M135" s="77"/>
      <c r="N135" s="78">
        <f t="shared" si="7"/>
        <v>0</v>
      </c>
      <c r="O135" s="58"/>
      <c r="P135" s="18"/>
      <c r="Q135" s="18"/>
      <c r="R135" s="18">
        <f t="shared" ref="R135:R137" si="8">N135</f>
        <v>0</v>
      </c>
    </row>
    <row r="136" spans="1:22" x14ac:dyDescent="0.2">
      <c r="C136" s="74"/>
      <c r="D136" s="506"/>
      <c r="E136" s="507"/>
      <c r="F136" s="508"/>
      <c r="G136" s="75"/>
      <c r="H136" s="75"/>
      <c r="I136" s="77"/>
      <c r="J136" s="77"/>
      <c r="K136" s="77"/>
      <c r="L136" s="77"/>
      <c r="M136" s="77"/>
      <c r="N136" s="78">
        <f t="shared" si="7"/>
        <v>0</v>
      </c>
      <c r="O136" s="58"/>
      <c r="P136" s="18"/>
      <c r="Q136" s="18"/>
      <c r="R136" s="18">
        <f t="shared" si="8"/>
        <v>0</v>
      </c>
    </row>
    <row r="137" spans="1:22" x14ac:dyDescent="0.2">
      <c r="C137" s="74"/>
      <c r="D137" s="506"/>
      <c r="E137" s="507"/>
      <c r="F137" s="508"/>
      <c r="G137" s="75"/>
      <c r="H137" s="75"/>
      <c r="I137" s="77"/>
      <c r="J137" s="77"/>
      <c r="K137" s="77"/>
      <c r="L137" s="77"/>
      <c r="M137" s="77"/>
      <c r="N137" s="78">
        <f t="shared" si="7"/>
        <v>0</v>
      </c>
      <c r="O137" s="58"/>
      <c r="P137" s="18"/>
      <c r="Q137" s="18"/>
      <c r="R137" s="18">
        <f t="shared" si="8"/>
        <v>0</v>
      </c>
    </row>
    <row r="138" spans="1:22" ht="15.75" thickBot="1" x14ac:dyDescent="0.25">
      <c r="C138" s="79"/>
      <c r="D138" s="493"/>
      <c r="E138" s="494"/>
      <c r="F138" s="495"/>
      <c r="G138" s="80"/>
      <c r="H138" s="80"/>
      <c r="I138" s="81"/>
      <c r="J138" s="81"/>
      <c r="K138" s="81"/>
      <c r="L138" s="81"/>
      <c r="M138" s="81"/>
      <c r="N138" s="82"/>
      <c r="O138" s="58"/>
    </row>
    <row r="139" spans="1:22" x14ac:dyDescent="0.2">
      <c r="O139" s="58"/>
    </row>
    <row r="140" spans="1:22" ht="15.75" thickBot="1" x14ac:dyDescent="0.25">
      <c r="O140" s="58"/>
    </row>
    <row r="141" spans="1:22" s="49" customFormat="1" ht="15.75" thickBot="1" x14ac:dyDescent="0.25">
      <c r="A141" s="87"/>
      <c r="B141" s="87"/>
      <c r="C141" s="46" t="s">
        <v>42</v>
      </c>
      <c r="D141" s="47"/>
      <c r="E141" s="47"/>
      <c r="F141" s="47"/>
      <c r="G141" s="47"/>
      <c r="H141" s="48"/>
      <c r="I141" s="48"/>
      <c r="J141" s="48"/>
      <c r="K141" s="48"/>
      <c r="L141" s="48"/>
      <c r="M141" s="48"/>
      <c r="N141" s="48"/>
      <c r="O141" s="58"/>
      <c r="S141" s="50"/>
    </row>
    <row r="142" spans="1:22" s="49" customFormat="1" ht="12.75" x14ac:dyDescent="0.2">
      <c r="A142" s="87"/>
      <c r="B142" s="87"/>
      <c r="C142" s="551"/>
      <c r="D142" s="551"/>
      <c r="E142" s="551"/>
      <c r="F142" s="551"/>
      <c r="G142" s="551"/>
      <c r="H142" s="551"/>
      <c r="I142" s="551"/>
      <c r="J142" s="551"/>
      <c r="K142" s="551"/>
      <c r="L142" s="551"/>
      <c r="M142" s="551"/>
      <c r="N142" s="551"/>
      <c r="O142" s="59"/>
      <c r="S142" s="50"/>
    </row>
    <row r="143" spans="1:22" s="49" customFormat="1" ht="12.75" x14ac:dyDescent="0.2">
      <c r="A143" s="87"/>
      <c r="B143" s="87"/>
      <c r="C143" s="497"/>
      <c r="D143" s="497"/>
      <c r="E143" s="497"/>
      <c r="F143" s="497"/>
      <c r="G143" s="497"/>
      <c r="H143" s="497"/>
      <c r="I143" s="497"/>
      <c r="J143" s="497"/>
      <c r="K143" s="497"/>
      <c r="L143" s="497"/>
      <c r="M143" s="497"/>
      <c r="N143" s="497"/>
      <c r="O143" s="59"/>
      <c r="S143" s="50"/>
    </row>
    <row r="144" spans="1:22" s="49" customFormat="1" ht="12.75" x14ac:dyDescent="0.2">
      <c r="A144" s="87"/>
      <c r="B144" s="87"/>
      <c r="C144" s="497"/>
      <c r="D144" s="497"/>
      <c r="E144" s="497"/>
      <c r="F144" s="497"/>
      <c r="G144" s="497"/>
      <c r="H144" s="497"/>
      <c r="I144" s="497"/>
      <c r="J144" s="497"/>
      <c r="K144" s="497"/>
      <c r="L144" s="497"/>
      <c r="M144" s="497"/>
      <c r="N144" s="497"/>
      <c r="O144" s="59"/>
      <c r="S144" s="50"/>
    </row>
    <row r="145" spans="1:19" s="49" customFormat="1" ht="12.75" x14ac:dyDescent="0.2">
      <c r="A145" s="87"/>
      <c r="B145" s="87"/>
      <c r="C145" s="497"/>
      <c r="D145" s="497"/>
      <c r="E145" s="497"/>
      <c r="F145" s="497"/>
      <c r="G145" s="497"/>
      <c r="H145" s="497"/>
      <c r="I145" s="497"/>
      <c r="J145" s="497"/>
      <c r="K145" s="497"/>
      <c r="L145" s="497"/>
      <c r="M145" s="497"/>
      <c r="N145" s="497"/>
      <c r="O145" s="59"/>
      <c r="S145" s="50"/>
    </row>
    <row r="146" spans="1:19" s="49" customFormat="1" ht="13.5" thickBot="1" x14ac:dyDescent="0.25">
      <c r="A146" s="87"/>
      <c r="B146" s="87"/>
      <c r="C146" s="498"/>
      <c r="D146" s="498"/>
      <c r="E146" s="498"/>
      <c r="F146" s="498"/>
      <c r="G146" s="498"/>
      <c r="H146" s="498"/>
      <c r="I146" s="498"/>
      <c r="J146" s="498"/>
      <c r="K146" s="498"/>
      <c r="L146" s="498"/>
      <c r="M146" s="498"/>
      <c r="N146" s="498"/>
      <c r="O146" s="59"/>
      <c r="S146" s="50"/>
    </row>
    <row r="147" spans="1:19" s="10" customFormat="1" ht="12" thickBot="1" x14ac:dyDescent="0.25">
      <c r="C147" s="6"/>
      <c r="D147" s="6"/>
      <c r="E147" s="6"/>
      <c r="F147" s="7"/>
      <c r="G147" s="8"/>
      <c r="H147" s="8"/>
      <c r="I147" s="9"/>
      <c r="N147" s="4"/>
      <c r="O147" s="55"/>
      <c r="S147" s="11"/>
    </row>
    <row r="148" spans="1:19" s="34" customFormat="1" ht="16.5" thickBot="1" x14ac:dyDescent="0.25">
      <c r="A148" s="84"/>
      <c r="B148" s="84"/>
      <c r="C148" s="30">
        <v>5</v>
      </c>
      <c r="D148" s="31" t="s">
        <v>1178</v>
      </c>
      <c r="E148" s="32"/>
      <c r="F148" s="32"/>
      <c r="G148" s="32"/>
      <c r="H148" s="32"/>
      <c r="I148" s="32"/>
      <c r="J148" s="32"/>
      <c r="K148" s="32"/>
      <c r="L148" s="32"/>
      <c r="M148" s="32"/>
      <c r="N148" s="33"/>
      <c r="O148" s="56"/>
      <c r="S148" s="35"/>
    </row>
    <row r="149" spans="1:19" s="40" customFormat="1" ht="16.5" customHeight="1" thickBot="1" x14ac:dyDescent="0.25">
      <c r="A149" s="85"/>
      <c r="B149" s="85"/>
      <c r="C149" s="36" t="s">
        <v>580</v>
      </c>
      <c r="D149" s="37" t="s">
        <v>1179</v>
      </c>
      <c r="E149" s="38"/>
      <c r="F149" s="38"/>
      <c r="G149" s="38"/>
      <c r="H149" s="38"/>
      <c r="I149" s="38"/>
      <c r="J149" s="38"/>
      <c r="K149" s="38"/>
      <c r="L149" s="38"/>
      <c r="M149" s="38"/>
      <c r="N149" s="39"/>
      <c r="O149" s="57"/>
      <c r="S149" s="41"/>
    </row>
    <row r="150" spans="1:19" s="10" customFormat="1" ht="11.25" x14ac:dyDescent="0.2">
      <c r="C150" s="6"/>
      <c r="D150" s="6"/>
      <c r="E150" s="6"/>
      <c r="F150" s="7"/>
      <c r="G150" s="8"/>
      <c r="H150" s="8"/>
      <c r="I150" s="9"/>
      <c r="M150" s="4"/>
      <c r="N150" s="5"/>
      <c r="O150" s="55"/>
      <c r="S150" s="11"/>
    </row>
    <row r="151" spans="1:19" ht="18" thickBot="1" x14ac:dyDescent="0.25">
      <c r="C151" s="66" t="s">
        <v>34</v>
      </c>
      <c r="D151" s="537" t="s">
        <v>1180</v>
      </c>
      <c r="E151" s="538"/>
      <c r="F151" s="539"/>
      <c r="G151" s="540" t="s">
        <v>35</v>
      </c>
      <c r="H151" s="541"/>
      <c r="I151" s="42" t="s">
        <v>217</v>
      </c>
      <c r="J151" s="66" t="s">
        <v>36</v>
      </c>
      <c r="K151" s="542" t="s">
        <v>1181</v>
      </c>
      <c r="L151" s="543"/>
      <c r="M151" s="66" t="s">
        <v>37</v>
      </c>
      <c r="N151" s="43">
        <v>44707</v>
      </c>
      <c r="O151" s="58"/>
    </row>
    <row r="152" spans="1:19" ht="18.75" thickTop="1" thickBot="1" x14ac:dyDescent="0.25">
      <c r="C152" s="66" t="s">
        <v>34</v>
      </c>
      <c r="D152" s="537"/>
      <c r="E152" s="538"/>
      <c r="F152" s="539"/>
      <c r="G152" s="540" t="s">
        <v>35</v>
      </c>
      <c r="H152" s="541"/>
      <c r="I152" s="42"/>
      <c r="J152" s="66" t="s">
        <v>36</v>
      </c>
      <c r="K152" s="542"/>
      <c r="L152" s="543"/>
      <c r="M152" s="66" t="s">
        <v>37</v>
      </c>
      <c r="N152" s="43"/>
      <c r="O152" s="58"/>
    </row>
    <row r="153" spans="1:19" ht="18.75" thickTop="1" thickBot="1" x14ac:dyDescent="0.25">
      <c r="C153" s="66" t="s">
        <v>34</v>
      </c>
      <c r="D153" s="530"/>
      <c r="E153" s="531"/>
      <c r="F153" s="532"/>
      <c r="G153" s="533" t="s">
        <v>35</v>
      </c>
      <c r="H153" s="534"/>
      <c r="I153" s="44"/>
      <c r="J153" s="66" t="s">
        <v>36</v>
      </c>
      <c r="K153" s="535"/>
      <c r="L153" s="536"/>
      <c r="M153" s="66" t="s">
        <v>37</v>
      </c>
      <c r="N153" s="45"/>
      <c r="O153" s="58"/>
    </row>
    <row r="154" spans="1:19" ht="18.75" thickTop="1" thickBot="1" x14ac:dyDescent="0.25">
      <c r="C154" s="66" t="s">
        <v>34</v>
      </c>
      <c r="D154" s="530"/>
      <c r="E154" s="531"/>
      <c r="F154" s="532"/>
      <c r="G154" s="533" t="s">
        <v>35</v>
      </c>
      <c r="H154" s="534"/>
      <c r="I154" s="44"/>
      <c r="J154" s="66" t="s">
        <v>36</v>
      </c>
      <c r="K154" s="535"/>
      <c r="L154" s="536"/>
      <c r="M154" s="66" t="s">
        <v>37</v>
      </c>
      <c r="N154" s="45"/>
      <c r="O154" s="58"/>
    </row>
    <row r="155" spans="1:19" ht="18.75" thickTop="1" thickBot="1" x14ac:dyDescent="0.25">
      <c r="C155" s="66" t="s">
        <v>34</v>
      </c>
      <c r="D155" s="530"/>
      <c r="E155" s="531"/>
      <c r="F155" s="532"/>
      <c r="G155" s="533" t="s">
        <v>35</v>
      </c>
      <c r="H155" s="534"/>
      <c r="I155" s="44"/>
      <c r="J155" s="66" t="s">
        <v>36</v>
      </c>
      <c r="K155" s="535"/>
      <c r="L155" s="536"/>
      <c r="M155" s="66" t="s">
        <v>37</v>
      </c>
      <c r="N155" s="45"/>
      <c r="O155" s="58"/>
    </row>
    <row r="156" spans="1:19" ht="16.5" thickTop="1" thickBot="1" x14ac:dyDescent="0.25">
      <c r="O156" s="58"/>
    </row>
    <row r="157" spans="1:19" ht="15" customHeight="1" x14ac:dyDescent="0.2">
      <c r="C157" s="509" t="s">
        <v>19</v>
      </c>
      <c r="D157" s="499" t="s">
        <v>7</v>
      </c>
      <c r="E157" s="512"/>
      <c r="F157" s="500"/>
      <c r="G157" s="519" t="s">
        <v>30</v>
      </c>
      <c r="H157" s="522" t="s">
        <v>38</v>
      </c>
      <c r="I157" s="245" t="s">
        <v>39</v>
      </c>
      <c r="J157" s="245" t="s">
        <v>39</v>
      </c>
      <c r="K157" s="245" t="s">
        <v>39</v>
      </c>
      <c r="L157" s="245" t="s">
        <v>39</v>
      </c>
      <c r="M157" s="245" t="s">
        <v>39</v>
      </c>
      <c r="N157" s="525" t="s">
        <v>40</v>
      </c>
      <c r="O157" s="58"/>
    </row>
    <row r="158" spans="1:19" x14ac:dyDescent="0.2">
      <c r="C158" s="510"/>
      <c r="D158" s="513"/>
      <c r="E158" s="514"/>
      <c r="F158" s="515"/>
      <c r="G158" s="520"/>
      <c r="H158" s="523"/>
      <c r="I158" s="12" t="str">
        <f>D151</f>
        <v>STONE</v>
      </c>
      <c r="J158" s="12">
        <f>D152</f>
        <v>0</v>
      </c>
      <c r="K158" s="12">
        <f>D153</f>
        <v>0</v>
      </c>
      <c r="L158" s="12">
        <f>D154</f>
        <v>0</v>
      </c>
      <c r="M158" s="12">
        <f>D155</f>
        <v>0</v>
      </c>
      <c r="N158" s="526"/>
      <c r="O158" s="58"/>
    </row>
    <row r="159" spans="1:19" ht="15" customHeight="1" x14ac:dyDescent="0.2">
      <c r="C159" s="510"/>
      <c r="D159" s="513"/>
      <c r="E159" s="514"/>
      <c r="F159" s="515"/>
      <c r="G159" s="520"/>
      <c r="H159" s="523"/>
      <c r="I159" s="528" t="s">
        <v>41</v>
      </c>
      <c r="J159" s="528" t="s">
        <v>41</v>
      </c>
      <c r="K159" s="528" t="s">
        <v>41</v>
      </c>
      <c r="L159" s="528" t="s">
        <v>41</v>
      </c>
      <c r="M159" s="528" t="s">
        <v>41</v>
      </c>
      <c r="N159" s="526"/>
      <c r="O159" s="58"/>
    </row>
    <row r="160" spans="1:19" ht="15.75" thickBot="1" x14ac:dyDescent="0.25">
      <c r="C160" s="511"/>
      <c r="D160" s="516"/>
      <c r="E160" s="517"/>
      <c r="F160" s="518"/>
      <c r="G160" s="521"/>
      <c r="H160" s="524"/>
      <c r="I160" s="529"/>
      <c r="J160" s="529"/>
      <c r="K160" s="529"/>
      <c r="L160" s="529"/>
      <c r="M160" s="529"/>
      <c r="N160" s="527"/>
      <c r="O160" s="58"/>
    </row>
    <row r="161" spans="1:22" ht="15.75" thickBot="1" x14ac:dyDescent="0.25">
      <c r="O161" s="58"/>
      <c r="P161" s="200" t="s">
        <v>79</v>
      </c>
      <c r="Q161" s="200" t="s">
        <v>89</v>
      </c>
      <c r="R161" s="200" t="s">
        <v>90</v>
      </c>
    </row>
    <row r="162" spans="1:22" s="67" customFormat="1" x14ac:dyDescent="0.2">
      <c r="A162" s="86"/>
      <c r="B162" s="86"/>
      <c r="C162" s="68"/>
      <c r="D162" s="503"/>
      <c r="E162" s="504"/>
      <c r="F162" s="505"/>
      <c r="G162" s="69"/>
      <c r="H162" s="69"/>
      <c r="I162" s="70"/>
      <c r="J162" s="70"/>
      <c r="K162" s="70"/>
      <c r="L162" s="70"/>
      <c r="M162" s="70"/>
      <c r="N162" s="71"/>
      <c r="O162" s="72"/>
      <c r="P162" s="53"/>
      <c r="Q162" s="17"/>
      <c r="R162" s="17"/>
      <c r="S162" s="73"/>
    </row>
    <row r="163" spans="1:22" ht="24.95" customHeight="1" x14ac:dyDescent="0.2">
      <c r="B163" s="83" t="s">
        <v>161</v>
      </c>
      <c r="C163" s="74">
        <v>1</v>
      </c>
      <c r="D163" s="506" t="str">
        <f>IFERROR(VLOOKUP(B163,Fontes!$A$9:$AC$6124,2,FALSE),0)</f>
        <v>Pré fabricado em concreto armado Fck 35 Mpa espessura 9 cm reta, incluindo fabricação e montagem da Stone Pré Fabricados Arquitetônicos</v>
      </c>
      <c r="E163" s="507">
        <f>IFERROR(VLOOKUP(D163,Planilha!$B$10:$AC$943,4,FALSE),0)</f>
        <v>0</v>
      </c>
      <c r="F163" s="508">
        <f>IFERROR(VLOOKUP(E163,Planilha!$B$10:$AC$943,4,FALSE),0)</f>
        <v>0</v>
      </c>
      <c r="G163" s="75" t="str">
        <f>IFERROR(VLOOKUP(B163,Fontes!$A$9:$AC$6124,3,FALSE),0)</f>
        <v>un</v>
      </c>
      <c r="H163" s="76">
        <v>123</v>
      </c>
      <c r="I163" s="77">
        <v>6422.9738179687793</v>
      </c>
      <c r="J163" s="77"/>
      <c r="K163" s="77"/>
      <c r="L163" s="77"/>
      <c r="M163" s="77"/>
      <c r="N163" s="78">
        <f>IFERROR(+AVERAGE(I163,J163,K163,L163,M163),0)</f>
        <v>6422.9738179687793</v>
      </c>
      <c r="O163" s="58"/>
      <c r="P163" s="18"/>
      <c r="Q163" s="18">
        <f>N163</f>
        <v>6422.9738179687793</v>
      </c>
      <c r="R163" s="18"/>
      <c r="V163" s="18"/>
    </row>
    <row r="164" spans="1:22" ht="24.95" customHeight="1" x14ac:dyDescent="0.2">
      <c r="B164" s="83" t="s">
        <v>162</v>
      </c>
      <c r="C164" s="74">
        <v>2</v>
      </c>
      <c r="D164" s="506" t="str">
        <f>IFERROR(VLOOKUP(B164,Fontes!$A$9:$AC$6124,2,FALSE),0)</f>
        <v>Pré fabricado em concreto armado Fck 35 espessura 9 cm inclinada, incluindo fabricação e montagem da Stone Pré Fabricados Arquitetônicos</v>
      </c>
      <c r="E164" s="507">
        <f>IFERROR(VLOOKUP(D164,Planilha!$B$10:$AC$943,4,FALSE),0)</f>
        <v>0</v>
      </c>
      <c r="F164" s="508">
        <f>IFERROR(VLOOKUP(E164,Planilha!$B$10:$AC$943,4,FALSE),0)</f>
        <v>0</v>
      </c>
      <c r="G164" s="75" t="str">
        <f>IFERROR(VLOOKUP(B164,Fontes!$A$9:$AC$6124,3,FALSE),0)</f>
        <v>un</v>
      </c>
      <c r="H164" s="76">
        <v>4</v>
      </c>
      <c r="I164" s="77">
        <v>13992.766477400439</v>
      </c>
      <c r="J164" s="77"/>
      <c r="K164" s="77"/>
      <c r="L164" s="77"/>
      <c r="M164" s="77"/>
      <c r="N164" s="78">
        <f t="shared" ref="N164:N170" si="9">IFERROR(+AVERAGE(I164,J164,K164,L164,M164),0)</f>
        <v>13992.766477400439</v>
      </c>
      <c r="O164" s="58"/>
      <c r="P164" s="18"/>
      <c r="Q164" s="18">
        <f>N164</f>
        <v>13992.766477400439</v>
      </c>
      <c r="R164" s="18"/>
      <c r="V164" s="18"/>
    </row>
    <row r="165" spans="1:22" ht="24.95" customHeight="1" x14ac:dyDescent="0.2">
      <c r="B165" s="83" t="s">
        <v>163</v>
      </c>
      <c r="C165" s="74">
        <v>3</v>
      </c>
      <c r="D165" s="506" t="str">
        <f>IFERROR(VLOOKUP(B165,Fontes!$A$9:$AC$6124,2,FALSE),0)</f>
        <v>Pré fabricado em concreto armado Fck 35 espessura12 cm curva, incluindo fabricação e montagem da Stone Pré Fabricados Arquitetônicos</v>
      </c>
      <c r="E165" s="507">
        <f>IFERROR(VLOOKUP(D165,Planilha!$B$10:$AC$943,4,FALSE),0)</f>
        <v>0</v>
      </c>
      <c r="F165" s="508">
        <f>IFERROR(VLOOKUP(E165,Planilha!$B$10:$AC$943,4,FALSE),0)</f>
        <v>0</v>
      </c>
      <c r="G165" s="75" t="str">
        <f>IFERROR(VLOOKUP(B165,Fontes!$A$9:$AC$6124,3,FALSE),0)</f>
        <v>un</v>
      </c>
      <c r="H165" s="76">
        <v>33</v>
      </c>
      <c r="I165" s="77">
        <v>18606.170742497456</v>
      </c>
      <c r="J165" s="77"/>
      <c r="K165" s="77"/>
      <c r="L165" s="77"/>
      <c r="M165" s="77"/>
      <c r="N165" s="78">
        <f t="shared" si="9"/>
        <v>18606.170742497456</v>
      </c>
      <c r="O165" s="58"/>
      <c r="P165" s="18"/>
      <c r="Q165" s="18">
        <f>N165</f>
        <v>18606.170742497456</v>
      </c>
      <c r="R165" s="18"/>
      <c r="V165" s="18"/>
    </row>
    <row r="166" spans="1:22" x14ac:dyDescent="0.2">
      <c r="C166" s="74"/>
      <c r="D166" s="506"/>
      <c r="E166" s="507"/>
      <c r="F166" s="508"/>
      <c r="G166" s="75"/>
      <c r="H166" s="76"/>
      <c r="I166" s="77"/>
      <c r="J166" s="77"/>
      <c r="K166" s="77"/>
      <c r="L166" s="77"/>
      <c r="M166" s="77"/>
      <c r="N166" s="78">
        <f t="shared" si="9"/>
        <v>0</v>
      </c>
      <c r="O166" s="58"/>
      <c r="P166" s="18"/>
      <c r="Q166" s="18"/>
      <c r="R166" s="18"/>
    </row>
    <row r="167" spans="1:22" ht="27" customHeight="1" x14ac:dyDescent="0.2">
      <c r="C167" s="74"/>
      <c r="D167" s="506"/>
      <c r="E167" s="507"/>
      <c r="F167" s="508"/>
      <c r="G167" s="75"/>
      <c r="H167" s="76"/>
      <c r="I167" s="77"/>
      <c r="J167" s="77"/>
      <c r="K167" s="77"/>
      <c r="L167" s="77"/>
      <c r="M167" s="77"/>
      <c r="N167" s="78">
        <f t="shared" si="9"/>
        <v>0</v>
      </c>
      <c r="O167" s="58"/>
      <c r="P167" s="18"/>
      <c r="Q167" s="18"/>
      <c r="R167" s="18"/>
    </row>
    <row r="168" spans="1:22" x14ac:dyDescent="0.2">
      <c r="C168" s="74"/>
      <c r="D168" s="506"/>
      <c r="E168" s="507"/>
      <c r="F168" s="508"/>
      <c r="G168" s="75"/>
      <c r="H168" s="75"/>
      <c r="I168" s="77"/>
      <c r="J168" s="77"/>
      <c r="K168" s="77"/>
      <c r="L168" s="77"/>
      <c r="M168" s="77"/>
      <c r="N168" s="78">
        <f t="shared" si="9"/>
        <v>0</v>
      </c>
      <c r="O168" s="58"/>
      <c r="P168" s="18"/>
      <c r="Q168" s="18"/>
      <c r="R168" s="18">
        <f t="shared" ref="R168:R170" si="10">N168</f>
        <v>0</v>
      </c>
    </row>
    <row r="169" spans="1:22" x14ac:dyDescent="0.2">
      <c r="C169" s="74"/>
      <c r="D169" s="506"/>
      <c r="E169" s="507"/>
      <c r="F169" s="508"/>
      <c r="G169" s="75"/>
      <c r="H169" s="75"/>
      <c r="I169" s="77"/>
      <c r="J169" s="77"/>
      <c r="K169" s="77"/>
      <c r="L169" s="77"/>
      <c r="M169" s="77"/>
      <c r="N169" s="78">
        <f t="shared" si="9"/>
        <v>0</v>
      </c>
      <c r="O169" s="58"/>
      <c r="P169" s="18"/>
      <c r="Q169" s="18"/>
      <c r="R169" s="18">
        <f t="shared" si="10"/>
        <v>0</v>
      </c>
    </row>
    <row r="170" spans="1:22" x14ac:dyDescent="0.2">
      <c r="C170" s="74"/>
      <c r="D170" s="506"/>
      <c r="E170" s="507"/>
      <c r="F170" s="508"/>
      <c r="G170" s="75"/>
      <c r="H170" s="75"/>
      <c r="I170" s="77"/>
      <c r="J170" s="77"/>
      <c r="K170" s="77"/>
      <c r="L170" s="77"/>
      <c r="M170" s="77"/>
      <c r="N170" s="78">
        <f t="shared" si="9"/>
        <v>0</v>
      </c>
      <c r="O170" s="58"/>
      <c r="P170" s="18"/>
      <c r="Q170" s="18"/>
      <c r="R170" s="18">
        <f t="shared" si="10"/>
        <v>0</v>
      </c>
    </row>
    <row r="171" spans="1:22" ht="15.75" thickBot="1" x14ac:dyDescent="0.25">
      <c r="C171" s="79"/>
      <c r="D171" s="493"/>
      <c r="E171" s="494"/>
      <c r="F171" s="495"/>
      <c r="G171" s="80"/>
      <c r="H171" s="80"/>
      <c r="I171" s="81"/>
      <c r="J171" s="81"/>
      <c r="K171" s="81"/>
      <c r="L171" s="81"/>
      <c r="M171" s="81"/>
      <c r="N171" s="82"/>
      <c r="O171" s="58"/>
    </row>
    <row r="172" spans="1:22" x14ac:dyDescent="0.2">
      <c r="O172" s="58"/>
    </row>
    <row r="173" spans="1:22" ht="15.75" thickBot="1" x14ac:dyDescent="0.25">
      <c r="O173" s="58"/>
    </row>
    <row r="174" spans="1:22" s="49" customFormat="1" ht="15.75" thickBot="1" x14ac:dyDescent="0.25">
      <c r="A174" s="87"/>
      <c r="B174" s="87"/>
      <c r="C174" s="46" t="s">
        <v>42</v>
      </c>
      <c r="D174" s="47"/>
      <c r="E174" s="47"/>
      <c r="F174" s="47"/>
      <c r="G174" s="47"/>
      <c r="H174" s="48"/>
      <c r="I174" s="48"/>
      <c r="J174" s="48"/>
      <c r="K174" s="48"/>
      <c r="L174" s="48"/>
      <c r="M174" s="48"/>
      <c r="N174" s="48"/>
      <c r="O174" s="58"/>
      <c r="S174" s="50"/>
    </row>
    <row r="175" spans="1:22" s="49" customFormat="1" ht="12.75" x14ac:dyDescent="0.2">
      <c r="A175" s="87"/>
      <c r="B175" s="87"/>
      <c r="C175" s="551"/>
      <c r="D175" s="551"/>
      <c r="E175" s="551"/>
      <c r="F175" s="551"/>
      <c r="G175" s="551"/>
      <c r="H175" s="551"/>
      <c r="I175" s="551"/>
      <c r="J175" s="551"/>
      <c r="K175" s="551"/>
      <c r="L175" s="551"/>
      <c r="M175" s="551"/>
      <c r="N175" s="551"/>
      <c r="O175" s="59"/>
      <c r="S175" s="50"/>
    </row>
    <row r="176" spans="1:22" s="49" customFormat="1" ht="12.75" x14ac:dyDescent="0.2">
      <c r="A176" s="87"/>
      <c r="B176" s="87"/>
      <c r="C176" s="556" t="s">
        <v>2260</v>
      </c>
      <c r="D176" s="556"/>
      <c r="E176" s="556"/>
      <c r="F176" s="556"/>
      <c r="G176" s="556"/>
      <c r="H176" s="556"/>
      <c r="I176" s="556"/>
      <c r="J176" s="556"/>
      <c r="K176" s="556"/>
      <c r="L176" s="556"/>
      <c r="M176" s="556"/>
      <c r="N176" s="556"/>
      <c r="O176" s="59"/>
      <c r="S176" s="50"/>
    </row>
    <row r="177" spans="1:19" s="49" customFormat="1" ht="12.75" x14ac:dyDescent="0.2">
      <c r="A177" s="87"/>
      <c r="B177" s="87"/>
      <c r="C177" s="497"/>
      <c r="D177" s="497"/>
      <c r="E177" s="497"/>
      <c r="F177" s="497"/>
      <c r="G177" s="497"/>
      <c r="H177" s="497"/>
      <c r="I177" s="497"/>
      <c r="J177" s="497"/>
      <c r="K177" s="497"/>
      <c r="L177" s="497"/>
      <c r="M177" s="497"/>
      <c r="N177" s="497"/>
      <c r="O177" s="59"/>
      <c r="S177" s="50"/>
    </row>
    <row r="178" spans="1:19" s="49" customFormat="1" ht="12.75" x14ac:dyDescent="0.2">
      <c r="A178" s="87"/>
      <c r="B178" s="87"/>
      <c r="C178" s="497"/>
      <c r="D178" s="497"/>
      <c r="E178" s="497"/>
      <c r="F178" s="497"/>
      <c r="G178" s="497"/>
      <c r="H178" s="497"/>
      <c r="I178" s="497"/>
      <c r="J178" s="497"/>
      <c r="K178" s="497"/>
      <c r="L178" s="497"/>
      <c r="M178" s="497"/>
      <c r="N178" s="497"/>
      <c r="O178" s="59"/>
      <c r="S178" s="50"/>
    </row>
    <row r="179" spans="1:19" s="49" customFormat="1" ht="13.5" thickBot="1" x14ac:dyDescent="0.25">
      <c r="A179" s="87"/>
      <c r="B179" s="87"/>
      <c r="C179" s="498"/>
      <c r="D179" s="498"/>
      <c r="E179" s="498"/>
      <c r="F179" s="498"/>
      <c r="G179" s="498"/>
      <c r="H179" s="498"/>
      <c r="I179" s="498"/>
      <c r="J179" s="498"/>
      <c r="K179" s="498"/>
      <c r="L179" s="498"/>
      <c r="M179" s="498"/>
      <c r="N179" s="498"/>
      <c r="O179" s="59"/>
      <c r="S179" s="50"/>
    </row>
    <row r="180" spans="1:19" ht="15.75" thickBot="1" x14ac:dyDescent="0.25">
      <c r="C180" s="51"/>
      <c r="D180" s="51"/>
      <c r="E180" s="51"/>
      <c r="F180" s="51"/>
      <c r="G180" s="51"/>
      <c r="H180" s="51"/>
      <c r="I180" s="51"/>
      <c r="J180" s="51"/>
      <c r="K180" s="51"/>
      <c r="L180" s="51"/>
      <c r="M180" s="52"/>
      <c r="N180" s="52"/>
      <c r="O180" s="58"/>
    </row>
    <row r="181" spans="1:19" s="34" customFormat="1" ht="16.5" thickBot="1" x14ac:dyDescent="0.25">
      <c r="A181" s="84"/>
      <c r="B181" s="84"/>
      <c r="C181" s="30">
        <v>6</v>
      </c>
      <c r="D181" s="31" t="s">
        <v>1250</v>
      </c>
      <c r="E181" s="32"/>
      <c r="F181" s="32"/>
      <c r="G181" s="32"/>
      <c r="H181" s="32"/>
      <c r="I181" s="32"/>
      <c r="J181" s="32"/>
      <c r="K181" s="32"/>
      <c r="L181" s="32"/>
      <c r="M181" s="32"/>
      <c r="N181" s="33"/>
      <c r="O181" s="56"/>
      <c r="S181" s="35"/>
    </row>
    <row r="182" spans="1:19" s="40" customFormat="1" ht="16.5" customHeight="1" thickBot="1" x14ac:dyDescent="0.25">
      <c r="A182" s="85"/>
      <c r="B182" s="85"/>
      <c r="C182" s="36" t="s">
        <v>601</v>
      </c>
      <c r="D182" s="37" t="s">
        <v>1252</v>
      </c>
      <c r="E182" s="38"/>
      <c r="F182" s="38"/>
      <c r="G182" s="38"/>
      <c r="H182" s="38"/>
      <c r="I182" s="38"/>
      <c r="J182" s="38"/>
      <c r="K182" s="38"/>
      <c r="L182" s="38"/>
      <c r="M182" s="38"/>
      <c r="N182" s="39"/>
      <c r="O182" s="57"/>
      <c r="S182" s="41"/>
    </row>
    <row r="183" spans="1:19" s="10" customFormat="1" ht="11.25" x14ac:dyDescent="0.2">
      <c r="C183" s="6"/>
      <c r="D183" s="6"/>
      <c r="E183" s="6"/>
      <c r="F183" s="7"/>
      <c r="G183" s="8"/>
      <c r="H183" s="8"/>
      <c r="I183" s="9"/>
      <c r="M183" s="4"/>
      <c r="N183" s="5"/>
      <c r="O183" s="55"/>
      <c r="S183" s="11"/>
    </row>
    <row r="184" spans="1:19" ht="18" thickBot="1" x14ac:dyDescent="0.25">
      <c r="C184" s="66" t="s">
        <v>34</v>
      </c>
      <c r="D184" s="537" t="s">
        <v>1186</v>
      </c>
      <c r="E184" s="538"/>
      <c r="F184" s="539"/>
      <c r="G184" s="540" t="s">
        <v>35</v>
      </c>
      <c r="H184" s="541"/>
      <c r="I184" s="42" t="s">
        <v>1187</v>
      </c>
      <c r="J184" s="66" t="s">
        <v>36</v>
      </c>
      <c r="K184" s="542" t="s">
        <v>1188</v>
      </c>
      <c r="L184" s="543"/>
      <c r="M184" s="66" t="s">
        <v>37</v>
      </c>
      <c r="N184" s="43">
        <v>44690</v>
      </c>
      <c r="O184" s="58"/>
    </row>
    <row r="185" spans="1:19" ht="18.75" thickTop="1" thickBot="1" x14ac:dyDescent="0.25">
      <c r="C185" s="66" t="s">
        <v>34</v>
      </c>
      <c r="D185" s="537"/>
      <c r="E185" s="538"/>
      <c r="F185" s="539"/>
      <c r="G185" s="540" t="s">
        <v>35</v>
      </c>
      <c r="H185" s="541"/>
      <c r="I185" s="42"/>
      <c r="J185" s="66" t="s">
        <v>36</v>
      </c>
      <c r="K185" s="542"/>
      <c r="L185" s="543"/>
      <c r="M185" s="66" t="s">
        <v>37</v>
      </c>
      <c r="N185" s="43"/>
      <c r="O185" s="58"/>
    </row>
    <row r="186" spans="1:19" ht="18.75" thickTop="1" thickBot="1" x14ac:dyDescent="0.25">
      <c r="C186" s="66" t="s">
        <v>34</v>
      </c>
      <c r="D186" s="530"/>
      <c r="E186" s="531"/>
      <c r="F186" s="532"/>
      <c r="G186" s="533" t="s">
        <v>35</v>
      </c>
      <c r="H186" s="534"/>
      <c r="I186" s="44"/>
      <c r="J186" s="66" t="s">
        <v>36</v>
      </c>
      <c r="K186" s="535"/>
      <c r="L186" s="536"/>
      <c r="M186" s="66" t="s">
        <v>37</v>
      </c>
      <c r="N186" s="45"/>
      <c r="O186" s="58"/>
    </row>
    <row r="187" spans="1:19" ht="18.75" thickTop="1" thickBot="1" x14ac:dyDescent="0.25">
      <c r="C187" s="66" t="s">
        <v>34</v>
      </c>
      <c r="D187" s="530"/>
      <c r="E187" s="531"/>
      <c r="F187" s="532"/>
      <c r="G187" s="533" t="s">
        <v>35</v>
      </c>
      <c r="H187" s="534"/>
      <c r="I187" s="44"/>
      <c r="J187" s="66" t="s">
        <v>36</v>
      </c>
      <c r="K187" s="535"/>
      <c r="L187" s="536"/>
      <c r="M187" s="66" t="s">
        <v>37</v>
      </c>
      <c r="N187" s="45"/>
      <c r="O187" s="58"/>
    </row>
    <row r="188" spans="1:19" ht="18.75" thickTop="1" thickBot="1" x14ac:dyDescent="0.25">
      <c r="C188" s="66" t="s">
        <v>34</v>
      </c>
      <c r="D188" s="530"/>
      <c r="E188" s="531"/>
      <c r="F188" s="532"/>
      <c r="G188" s="533" t="s">
        <v>35</v>
      </c>
      <c r="H188" s="534"/>
      <c r="I188" s="44"/>
      <c r="J188" s="66" t="s">
        <v>36</v>
      </c>
      <c r="K188" s="535"/>
      <c r="L188" s="536"/>
      <c r="M188" s="66" t="s">
        <v>37</v>
      </c>
      <c r="N188" s="45"/>
      <c r="O188" s="58"/>
    </row>
    <row r="189" spans="1:19" ht="16.5" thickTop="1" thickBot="1" x14ac:dyDescent="0.25">
      <c r="O189" s="58"/>
    </row>
    <row r="190" spans="1:19" ht="15" customHeight="1" x14ac:dyDescent="0.2">
      <c r="C190" s="509" t="s">
        <v>19</v>
      </c>
      <c r="D190" s="499" t="s">
        <v>7</v>
      </c>
      <c r="E190" s="512"/>
      <c r="F190" s="500"/>
      <c r="G190" s="519" t="s">
        <v>30</v>
      </c>
      <c r="H190" s="522" t="s">
        <v>38</v>
      </c>
      <c r="I190" s="245" t="s">
        <v>39</v>
      </c>
      <c r="J190" s="245" t="s">
        <v>39</v>
      </c>
      <c r="K190" s="245" t="s">
        <v>39</v>
      </c>
      <c r="L190" s="245" t="s">
        <v>39</v>
      </c>
      <c r="M190" s="245" t="s">
        <v>39</v>
      </c>
      <c r="N190" s="525" t="s">
        <v>40</v>
      </c>
      <c r="O190" s="58"/>
    </row>
    <row r="191" spans="1:19" x14ac:dyDescent="0.2">
      <c r="C191" s="510"/>
      <c r="D191" s="513"/>
      <c r="E191" s="514"/>
      <c r="F191" s="515"/>
      <c r="G191" s="520"/>
      <c r="H191" s="523"/>
      <c r="I191" s="12" t="str">
        <f>D184</f>
        <v>ELIANE</v>
      </c>
      <c r="J191" s="12">
        <f>D185</f>
        <v>0</v>
      </c>
      <c r="K191" s="12">
        <f>D186</f>
        <v>0</v>
      </c>
      <c r="L191" s="12">
        <f>D187</f>
        <v>0</v>
      </c>
      <c r="M191" s="12">
        <f>D188</f>
        <v>0</v>
      </c>
      <c r="N191" s="526"/>
      <c r="O191" s="58"/>
    </row>
    <row r="192" spans="1:19" ht="15" customHeight="1" x14ac:dyDescent="0.2">
      <c r="C192" s="510"/>
      <c r="D192" s="513"/>
      <c r="E192" s="514"/>
      <c r="F192" s="515"/>
      <c r="G192" s="520"/>
      <c r="H192" s="523"/>
      <c r="I192" s="528" t="s">
        <v>41</v>
      </c>
      <c r="J192" s="528" t="s">
        <v>41</v>
      </c>
      <c r="K192" s="528" t="s">
        <v>41</v>
      </c>
      <c r="L192" s="528" t="s">
        <v>41</v>
      </c>
      <c r="M192" s="528" t="s">
        <v>41</v>
      </c>
      <c r="N192" s="526"/>
      <c r="O192" s="58"/>
    </row>
    <row r="193" spans="1:22" ht="15.75" thickBot="1" x14ac:dyDescent="0.25">
      <c r="C193" s="511"/>
      <c r="D193" s="516"/>
      <c r="E193" s="517"/>
      <c r="F193" s="518"/>
      <c r="G193" s="521"/>
      <c r="H193" s="524"/>
      <c r="I193" s="529"/>
      <c r="J193" s="529"/>
      <c r="K193" s="529"/>
      <c r="L193" s="529"/>
      <c r="M193" s="529"/>
      <c r="N193" s="527"/>
      <c r="O193" s="58"/>
    </row>
    <row r="194" spans="1:22" ht="15.75" thickBot="1" x14ac:dyDescent="0.25">
      <c r="O194" s="58"/>
      <c r="P194" s="200" t="s">
        <v>79</v>
      </c>
      <c r="Q194" s="200" t="s">
        <v>89</v>
      </c>
      <c r="R194" s="200" t="s">
        <v>90</v>
      </c>
    </row>
    <row r="195" spans="1:22" s="67" customFormat="1" x14ac:dyDescent="0.2">
      <c r="A195" s="86"/>
      <c r="B195" s="86"/>
      <c r="C195" s="68"/>
      <c r="D195" s="503"/>
      <c r="E195" s="504"/>
      <c r="F195" s="505"/>
      <c r="G195" s="69"/>
      <c r="H195" s="69"/>
      <c r="I195" s="70"/>
      <c r="J195" s="250"/>
      <c r="K195" s="250"/>
      <c r="L195" s="70"/>
      <c r="M195" s="70"/>
      <c r="N195" s="71"/>
      <c r="O195" s="72"/>
      <c r="P195" s="53"/>
      <c r="Q195" s="17"/>
      <c r="R195" s="17"/>
      <c r="S195" s="73"/>
    </row>
    <row r="196" spans="1:22" ht="24.95" customHeight="1" x14ac:dyDescent="0.2">
      <c r="C196" s="74">
        <v>1</v>
      </c>
      <c r="D196" s="506" t="e">
        <f>#REF!</f>
        <v>#REF!</v>
      </c>
      <c r="E196" s="507">
        <f>IFERROR(VLOOKUP(D196,Planilha!$B$10:$AC$943,4,FALSE),0)</f>
        <v>0</v>
      </c>
      <c r="F196" s="508">
        <f>IFERROR(VLOOKUP(E196,Planilha!$B$10:$AC$943,4,FALSE),0)</f>
        <v>0</v>
      </c>
      <c r="G196" s="75" t="e">
        <f>#REF!</f>
        <v>#REF!</v>
      </c>
      <c r="H196" s="76">
        <v>1</v>
      </c>
      <c r="I196" s="77">
        <v>82.468436516929074</v>
      </c>
      <c r="J196" s="77">
        <f>H196*I196</f>
        <v>82.468436516929074</v>
      </c>
      <c r="K196" s="77"/>
      <c r="L196" s="77"/>
      <c r="M196" s="77"/>
      <c r="N196" s="78">
        <f>IFERROR(+AVERAGE(I196,J196,K196,L196,M196),0)</f>
        <v>82.468436516929074</v>
      </c>
      <c r="O196" s="58"/>
      <c r="P196" s="18"/>
      <c r="Q196" s="18">
        <f>N196</f>
        <v>82.468436516929074</v>
      </c>
      <c r="R196" s="18"/>
      <c r="V196" s="18"/>
    </row>
    <row r="197" spans="1:22" ht="24.95" customHeight="1" x14ac:dyDescent="0.2">
      <c r="C197" s="74">
        <v>2</v>
      </c>
      <c r="D197" s="506" t="e">
        <f>#REF!</f>
        <v>#REF!</v>
      </c>
      <c r="E197" s="507">
        <f>IFERROR(VLOOKUP(D197,Planilha!$B$10:$AC$943,4,FALSE),0)</f>
        <v>0</v>
      </c>
      <c r="F197" s="508">
        <f>IFERROR(VLOOKUP(E197,Planilha!$B$10:$AC$943,4,FALSE),0)</f>
        <v>0</v>
      </c>
      <c r="G197" s="75" t="e">
        <f>#REF!</f>
        <v>#REF!</v>
      </c>
      <c r="H197" s="76">
        <v>1</v>
      </c>
      <c r="I197" s="77">
        <v>16.563309349464923</v>
      </c>
      <c r="J197" s="77">
        <f t="shared" ref="J197:J199" si="11">H197*I197</f>
        <v>16.563309349464923</v>
      </c>
      <c r="K197" s="77"/>
      <c r="L197" s="77"/>
      <c r="M197" s="77"/>
      <c r="N197" s="78">
        <f t="shared" ref="N197:N199" si="12">IFERROR(+AVERAGE(I197,J197,K197,L197,M197),0)</f>
        <v>16.563309349464923</v>
      </c>
      <c r="O197" s="58"/>
      <c r="P197" s="18"/>
      <c r="Q197" s="18">
        <f>N197</f>
        <v>16.563309349464923</v>
      </c>
      <c r="R197" s="18"/>
      <c r="V197" s="18"/>
    </row>
    <row r="198" spans="1:22" ht="24.95" customHeight="1" x14ac:dyDescent="0.2">
      <c r="C198" s="74">
        <v>3</v>
      </c>
      <c r="D198" s="506" t="e">
        <f>#REF!</f>
        <v>#REF!</v>
      </c>
      <c r="E198" s="507">
        <f>IFERROR(VLOOKUP(D198,Planilha!$B$10:$AC$943,4,FALSE),0)</f>
        <v>0</v>
      </c>
      <c r="F198" s="508">
        <f>IFERROR(VLOOKUP(E198,Planilha!$B$10:$AC$943,4,FALSE),0)</f>
        <v>0</v>
      </c>
      <c r="G198" s="75" t="e">
        <f>#REF!</f>
        <v>#REF!</v>
      </c>
      <c r="H198" s="76">
        <v>1</v>
      </c>
      <c r="I198" s="77">
        <v>1.9412233612085243</v>
      </c>
      <c r="J198" s="77">
        <f t="shared" si="11"/>
        <v>1.9412233612085243</v>
      </c>
      <c r="K198" s="77"/>
      <c r="L198" s="77"/>
      <c r="M198" s="77"/>
      <c r="N198" s="78">
        <f t="shared" si="12"/>
        <v>1.9412233612085243</v>
      </c>
      <c r="O198" s="58"/>
      <c r="P198" s="18"/>
      <c r="Q198" s="18"/>
      <c r="R198" s="18"/>
      <c r="V198" s="18"/>
    </row>
    <row r="199" spans="1:22" ht="24.95" customHeight="1" x14ac:dyDescent="0.2">
      <c r="C199" s="74">
        <v>4</v>
      </c>
      <c r="D199" s="506" t="e">
        <f>#REF!</f>
        <v>#REF!</v>
      </c>
      <c r="E199" s="507">
        <f>IFERROR(VLOOKUP(D199,Planilha!$B$10:$AC$943,4,FALSE),0)</f>
        <v>0</v>
      </c>
      <c r="F199" s="508">
        <f>IFERROR(VLOOKUP(E199,Planilha!$B$10:$AC$943,4,FALSE),0)</f>
        <v>0</v>
      </c>
      <c r="G199" s="75" t="e">
        <f>#REF!</f>
        <v>#REF!</v>
      </c>
      <c r="H199" s="76">
        <v>1</v>
      </c>
      <c r="I199" s="77">
        <v>4.1507458861613165</v>
      </c>
      <c r="J199" s="77">
        <f t="shared" si="11"/>
        <v>4.1507458861613165</v>
      </c>
      <c r="K199" s="77"/>
      <c r="L199" s="77"/>
      <c r="M199" s="77"/>
      <c r="N199" s="78">
        <f t="shared" si="12"/>
        <v>4.1507458861613165</v>
      </c>
      <c r="O199" s="58"/>
      <c r="P199" s="18"/>
      <c r="Q199" s="18"/>
      <c r="R199" s="18"/>
    </row>
    <row r="200" spans="1:22" ht="24.95" customHeight="1" x14ac:dyDescent="0.2">
      <c r="C200" s="262"/>
      <c r="D200" s="506"/>
      <c r="E200" s="507"/>
      <c r="F200" s="508"/>
      <c r="G200" s="75"/>
      <c r="H200" s="263"/>
      <c r="I200" s="264"/>
      <c r="J200" s="264"/>
      <c r="K200" s="264"/>
      <c r="L200" s="264"/>
      <c r="M200" s="264"/>
      <c r="N200" s="265"/>
      <c r="O200" s="58"/>
      <c r="P200" s="18"/>
      <c r="Q200" s="18"/>
      <c r="R200" s="18"/>
    </row>
    <row r="201" spans="1:22" ht="24.95" customHeight="1" x14ac:dyDescent="0.2">
      <c r="C201" s="262"/>
      <c r="D201" s="557" t="s">
        <v>1253</v>
      </c>
      <c r="E201" s="558"/>
      <c r="F201" s="559"/>
      <c r="G201" s="75"/>
      <c r="H201" s="263"/>
      <c r="I201" s="264"/>
      <c r="J201" s="264"/>
      <c r="K201" s="264"/>
      <c r="L201" s="264"/>
      <c r="M201" s="264"/>
      <c r="N201" s="265"/>
      <c r="O201" s="58"/>
      <c r="P201" s="18"/>
      <c r="Q201" s="18"/>
      <c r="R201" s="18"/>
    </row>
    <row r="202" spans="1:22" ht="24.95" customHeight="1" x14ac:dyDescent="0.2">
      <c r="C202" s="262"/>
      <c r="D202" s="506"/>
      <c r="E202" s="507"/>
      <c r="F202" s="508"/>
      <c r="G202" s="75"/>
      <c r="H202" s="263"/>
      <c r="I202" s="264"/>
      <c r="J202" s="264"/>
      <c r="K202" s="264"/>
      <c r="L202" s="264"/>
      <c r="M202" s="264"/>
      <c r="N202" s="265"/>
      <c r="O202" s="58"/>
      <c r="P202" s="18"/>
      <c r="Q202" s="18"/>
      <c r="R202" s="18"/>
    </row>
    <row r="203" spans="1:22" ht="24.95" customHeight="1" x14ac:dyDescent="0.2">
      <c r="C203" s="266"/>
      <c r="D203" s="506"/>
      <c r="E203" s="507"/>
      <c r="F203" s="508"/>
      <c r="G203" s="75"/>
      <c r="H203" s="267"/>
      <c r="I203" s="268"/>
      <c r="J203" s="268"/>
      <c r="K203" s="268"/>
      <c r="L203" s="268"/>
      <c r="M203" s="268"/>
      <c r="N203" s="269"/>
      <c r="O203" s="58"/>
      <c r="P203" s="18"/>
      <c r="Q203" s="18"/>
      <c r="R203" s="18"/>
    </row>
    <row r="204" spans="1:22" ht="15.75" thickBot="1" x14ac:dyDescent="0.25">
      <c r="C204" s="79"/>
      <c r="D204" s="493"/>
      <c r="E204" s="494"/>
      <c r="F204" s="495"/>
      <c r="G204" s="80"/>
      <c r="H204" s="80"/>
      <c r="I204" s="81"/>
      <c r="J204" s="81"/>
      <c r="K204" s="81"/>
      <c r="L204" s="81"/>
      <c r="M204" s="81"/>
      <c r="N204" s="82"/>
      <c r="O204" s="58"/>
    </row>
    <row r="205" spans="1:22" x14ac:dyDescent="0.2">
      <c r="O205" s="58"/>
    </row>
    <row r="206" spans="1:22" ht="15.75" thickBot="1" x14ac:dyDescent="0.25">
      <c r="O206" s="58"/>
    </row>
    <row r="207" spans="1:22" s="49" customFormat="1" x14ac:dyDescent="0.2">
      <c r="A207" s="87"/>
      <c r="B207" s="87"/>
      <c r="C207" s="46" t="s">
        <v>42</v>
      </c>
      <c r="D207" s="47"/>
      <c r="E207" s="47"/>
      <c r="F207" s="47"/>
      <c r="G207" s="47"/>
      <c r="H207" s="48"/>
      <c r="I207" s="48"/>
      <c r="J207" s="48"/>
      <c r="K207" s="48"/>
      <c r="L207" s="48"/>
      <c r="M207" s="48"/>
      <c r="N207" s="48"/>
      <c r="O207" s="58"/>
      <c r="S207" s="50"/>
    </row>
    <row r="208" spans="1:22" s="49" customFormat="1" ht="13.5" thickBot="1" x14ac:dyDescent="0.25">
      <c r="A208" s="87"/>
      <c r="B208" s="87"/>
      <c r="C208" s="560"/>
      <c r="D208" s="560"/>
      <c r="E208" s="560"/>
      <c r="F208" s="560"/>
      <c r="G208" s="560"/>
      <c r="H208" s="560"/>
      <c r="I208" s="560"/>
      <c r="J208" s="560"/>
      <c r="K208" s="560"/>
      <c r="L208" s="560"/>
      <c r="M208" s="560"/>
      <c r="N208" s="560"/>
      <c r="O208" s="59"/>
      <c r="S208" s="50"/>
    </row>
    <row r="209" spans="1:19" s="49" customFormat="1" ht="12.75" x14ac:dyDescent="0.2">
      <c r="A209" s="87"/>
      <c r="B209" s="87"/>
      <c r="C209" s="560" t="s">
        <v>2259</v>
      </c>
      <c r="D209" s="560"/>
      <c r="E209" s="560"/>
      <c r="F209" s="560"/>
      <c r="G209" s="560"/>
      <c r="H209" s="560"/>
      <c r="I209" s="560"/>
      <c r="J209" s="560"/>
      <c r="K209" s="560"/>
      <c r="L209" s="560"/>
      <c r="M209" s="560"/>
      <c r="N209" s="560"/>
      <c r="O209" s="59"/>
      <c r="S209" s="50"/>
    </row>
    <row r="210" spans="1:19" s="49" customFormat="1" ht="12.75" x14ac:dyDescent="0.2">
      <c r="A210" s="87"/>
      <c r="B210" s="87"/>
      <c r="C210" s="497"/>
      <c r="D210" s="497"/>
      <c r="E210" s="497"/>
      <c r="F210" s="497"/>
      <c r="G210" s="497"/>
      <c r="H210" s="497"/>
      <c r="I210" s="497"/>
      <c r="J210" s="497"/>
      <c r="K210" s="497"/>
      <c r="L210" s="497"/>
      <c r="M210" s="497"/>
      <c r="N210" s="497"/>
      <c r="O210" s="59"/>
      <c r="S210" s="50"/>
    </row>
    <row r="211" spans="1:19" s="49" customFormat="1" ht="12.75" x14ac:dyDescent="0.2">
      <c r="A211" s="87"/>
      <c r="B211" s="87"/>
      <c r="C211" s="497"/>
      <c r="D211" s="497"/>
      <c r="E211" s="497"/>
      <c r="F211" s="497"/>
      <c r="G211" s="497"/>
      <c r="H211" s="497"/>
      <c r="I211" s="497"/>
      <c r="J211" s="497"/>
      <c r="K211" s="497"/>
      <c r="L211" s="497"/>
      <c r="M211" s="497"/>
      <c r="N211" s="497"/>
      <c r="O211" s="59"/>
      <c r="S211" s="50"/>
    </row>
    <row r="212" spans="1:19" s="49" customFormat="1" ht="13.5" thickBot="1" x14ac:dyDescent="0.25">
      <c r="A212" s="87"/>
      <c r="B212" s="87"/>
      <c r="C212" s="498"/>
      <c r="D212" s="498"/>
      <c r="E212" s="498"/>
      <c r="F212" s="498"/>
      <c r="G212" s="498"/>
      <c r="H212" s="498"/>
      <c r="I212" s="498"/>
      <c r="J212" s="498"/>
      <c r="K212" s="498"/>
      <c r="L212" s="498"/>
      <c r="M212" s="498"/>
      <c r="N212" s="498"/>
      <c r="O212" s="59"/>
      <c r="S212" s="50"/>
    </row>
    <row r="213" spans="1:19" ht="15.75" thickBot="1" x14ac:dyDescent="0.25">
      <c r="C213" s="51"/>
      <c r="D213" s="51"/>
      <c r="E213" s="51"/>
      <c r="F213" s="51"/>
      <c r="G213" s="51"/>
      <c r="H213" s="51"/>
      <c r="I213" s="51"/>
      <c r="J213" s="51"/>
      <c r="K213" s="51"/>
      <c r="L213" s="51"/>
      <c r="M213" s="52"/>
      <c r="N213" s="52"/>
      <c r="O213" s="58"/>
    </row>
    <row r="214" spans="1:19" s="34" customFormat="1" ht="16.5" thickBot="1" x14ac:dyDescent="0.25">
      <c r="A214" s="84"/>
      <c r="B214" s="84"/>
      <c r="C214" s="30">
        <v>7</v>
      </c>
      <c r="D214" s="31" t="s">
        <v>1250</v>
      </c>
      <c r="E214" s="32"/>
      <c r="F214" s="32"/>
      <c r="G214" s="32"/>
      <c r="H214" s="32"/>
      <c r="I214" s="32"/>
      <c r="J214" s="32"/>
      <c r="K214" s="32"/>
      <c r="L214" s="32"/>
      <c r="M214" s="32"/>
      <c r="N214" s="33"/>
      <c r="O214" s="56"/>
      <c r="S214" s="35"/>
    </row>
    <row r="215" spans="1:19" s="40" customFormat="1" ht="16.5" customHeight="1" thickBot="1" x14ac:dyDescent="0.25">
      <c r="A215" s="85"/>
      <c r="B215" s="85"/>
      <c r="C215" s="36" t="s">
        <v>611</v>
      </c>
      <c r="D215" s="37" t="s">
        <v>1251</v>
      </c>
      <c r="E215" s="38"/>
      <c r="F215" s="38"/>
      <c r="G215" s="38"/>
      <c r="H215" s="38"/>
      <c r="I215" s="38"/>
      <c r="J215" s="38"/>
      <c r="K215" s="38"/>
      <c r="L215" s="38"/>
      <c r="M215" s="38"/>
      <c r="N215" s="39"/>
      <c r="O215" s="57"/>
      <c r="S215" s="41"/>
    </row>
    <row r="216" spans="1:19" s="10" customFormat="1" ht="11.25" x14ac:dyDescent="0.2">
      <c r="C216" s="6"/>
      <c r="D216" s="6"/>
      <c r="E216" s="6"/>
      <c r="F216" s="7"/>
      <c r="G216" s="8"/>
      <c r="H216" s="8"/>
      <c r="I216" s="9"/>
      <c r="M216" s="4"/>
      <c r="N216" s="5"/>
      <c r="O216" s="55"/>
      <c r="S216" s="11"/>
    </row>
    <row r="217" spans="1:19" ht="18" thickBot="1" x14ac:dyDescent="0.25">
      <c r="C217" s="66" t="s">
        <v>34</v>
      </c>
      <c r="D217" s="537" t="s">
        <v>1254</v>
      </c>
      <c r="E217" s="538"/>
      <c r="F217" s="539"/>
      <c r="G217" s="540" t="s">
        <v>35</v>
      </c>
      <c r="H217" s="541"/>
      <c r="I217" s="42" t="s">
        <v>1256</v>
      </c>
      <c r="J217" s="66" t="s">
        <v>36</v>
      </c>
      <c r="K217" s="542" t="s">
        <v>1255</v>
      </c>
      <c r="L217" s="543"/>
      <c r="M217" s="66" t="s">
        <v>37</v>
      </c>
      <c r="N217" s="43">
        <v>44698</v>
      </c>
      <c r="O217" s="58"/>
    </row>
    <row r="218" spans="1:19" ht="18.75" thickTop="1" thickBot="1" x14ac:dyDescent="0.25">
      <c r="C218" s="66" t="s">
        <v>34</v>
      </c>
      <c r="D218" s="537" t="s">
        <v>1272</v>
      </c>
      <c r="E218" s="538"/>
      <c r="F218" s="539"/>
      <c r="G218" s="540" t="s">
        <v>35</v>
      </c>
      <c r="H218" s="541"/>
      <c r="I218" s="42" t="s">
        <v>1274</v>
      </c>
      <c r="J218" s="66" t="s">
        <v>36</v>
      </c>
      <c r="K218" s="542" t="s">
        <v>1273</v>
      </c>
      <c r="L218" s="543"/>
      <c r="M218" s="66" t="s">
        <v>37</v>
      </c>
      <c r="N218" s="43">
        <v>44706</v>
      </c>
      <c r="O218" s="58"/>
    </row>
    <row r="219" spans="1:19" ht="18.75" thickTop="1" thickBot="1" x14ac:dyDescent="0.25">
      <c r="C219" s="66" t="s">
        <v>34</v>
      </c>
      <c r="D219" s="530" t="s">
        <v>1275</v>
      </c>
      <c r="E219" s="531"/>
      <c r="F219" s="532"/>
      <c r="G219" s="533" t="s">
        <v>35</v>
      </c>
      <c r="H219" s="534"/>
      <c r="I219" s="44" t="s">
        <v>1277</v>
      </c>
      <c r="J219" s="66" t="s">
        <v>36</v>
      </c>
      <c r="K219" s="535" t="s">
        <v>1276</v>
      </c>
      <c r="L219" s="536"/>
      <c r="M219" s="66" t="s">
        <v>37</v>
      </c>
      <c r="N219" s="45">
        <v>44700</v>
      </c>
      <c r="O219" s="58"/>
    </row>
    <row r="220" spans="1:19" ht="18.75" thickTop="1" thickBot="1" x14ac:dyDescent="0.25">
      <c r="C220" s="66" t="s">
        <v>34</v>
      </c>
      <c r="D220" s="530"/>
      <c r="E220" s="531"/>
      <c r="F220" s="532"/>
      <c r="G220" s="533" t="s">
        <v>35</v>
      </c>
      <c r="H220" s="534"/>
      <c r="I220" s="44"/>
      <c r="J220" s="66" t="s">
        <v>36</v>
      </c>
      <c r="K220" s="535"/>
      <c r="L220" s="536"/>
      <c r="M220" s="66" t="s">
        <v>37</v>
      </c>
      <c r="N220" s="45"/>
      <c r="O220" s="58"/>
    </row>
    <row r="221" spans="1:19" ht="18.75" thickTop="1" thickBot="1" x14ac:dyDescent="0.25">
      <c r="C221" s="66" t="s">
        <v>34</v>
      </c>
      <c r="D221" s="530"/>
      <c r="E221" s="531"/>
      <c r="F221" s="532"/>
      <c r="G221" s="533" t="s">
        <v>35</v>
      </c>
      <c r="H221" s="534"/>
      <c r="I221" s="44"/>
      <c r="J221" s="66" t="s">
        <v>36</v>
      </c>
      <c r="K221" s="535"/>
      <c r="L221" s="536"/>
      <c r="M221" s="66" t="s">
        <v>37</v>
      </c>
      <c r="N221" s="45"/>
      <c r="O221" s="58"/>
    </row>
    <row r="222" spans="1:19" ht="16.5" thickTop="1" thickBot="1" x14ac:dyDescent="0.25">
      <c r="O222" s="58"/>
    </row>
    <row r="223" spans="1:19" ht="15" customHeight="1" x14ac:dyDescent="0.2">
      <c r="C223" s="509" t="s">
        <v>19</v>
      </c>
      <c r="D223" s="499" t="s">
        <v>7</v>
      </c>
      <c r="E223" s="512"/>
      <c r="F223" s="500"/>
      <c r="G223" s="519" t="s">
        <v>30</v>
      </c>
      <c r="H223" s="522" t="s">
        <v>38</v>
      </c>
      <c r="I223" s="258" t="s">
        <v>39</v>
      </c>
      <c r="J223" s="258" t="s">
        <v>39</v>
      </c>
      <c r="K223" s="258" t="s">
        <v>39</v>
      </c>
      <c r="L223" s="258" t="s">
        <v>39</v>
      </c>
      <c r="M223" s="258" t="s">
        <v>39</v>
      </c>
      <c r="N223" s="525" t="s">
        <v>40</v>
      </c>
      <c r="O223" s="58"/>
    </row>
    <row r="224" spans="1:19" x14ac:dyDescent="0.2">
      <c r="C224" s="510"/>
      <c r="D224" s="513"/>
      <c r="E224" s="514"/>
      <c r="F224" s="515"/>
      <c r="G224" s="520"/>
      <c r="H224" s="523"/>
      <c r="I224" s="12" t="str">
        <f>D217</f>
        <v>AQUARIUS</v>
      </c>
      <c r="J224" s="12" t="str">
        <f>D218</f>
        <v>MHM</v>
      </c>
      <c r="K224" s="12" t="str">
        <f>D219</f>
        <v>MGR</v>
      </c>
      <c r="L224" s="12">
        <f>D220</f>
        <v>0</v>
      </c>
      <c r="M224" s="12">
        <f>D221</f>
        <v>0</v>
      </c>
      <c r="N224" s="526"/>
      <c r="O224" s="58"/>
    </row>
    <row r="225" spans="1:23" ht="15" customHeight="1" x14ac:dyDescent="0.2">
      <c r="C225" s="510"/>
      <c r="D225" s="513"/>
      <c r="E225" s="514"/>
      <c r="F225" s="515"/>
      <c r="G225" s="520"/>
      <c r="H225" s="523"/>
      <c r="I225" s="528" t="s">
        <v>41</v>
      </c>
      <c r="J225" s="528" t="s">
        <v>41</v>
      </c>
      <c r="K225" s="528" t="s">
        <v>41</v>
      </c>
      <c r="L225" s="528" t="s">
        <v>41</v>
      </c>
      <c r="M225" s="528" t="s">
        <v>41</v>
      </c>
      <c r="N225" s="526"/>
      <c r="O225" s="58"/>
    </row>
    <row r="226" spans="1:23" ht="15.75" thickBot="1" x14ac:dyDescent="0.25">
      <c r="C226" s="511"/>
      <c r="D226" s="516"/>
      <c r="E226" s="517"/>
      <c r="F226" s="518"/>
      <c r="G226" s="521"/>
      <c r="H226" s="524"/>
      <c r="I226" s="529"/>
      <c r="J226" s="529"/>
      <c r="K226" s="529"/>
      <c r="L226" s="529"/>
      <c r="M226" s="529"/>
      <c r="N226" s="527"/>
      <c r="O226" s="58"/>
    </row>
    <row r="227" spans="1:23" ht="15.75" thickBot="1" x14ac:dyDescent="0.25">
      <c r="O227" s="58"/>
      <c r="P227" s="200" t="s">
        <v>79</v>
      </c>
      <c r="Q227" s="200" t="s">
        <v>89</v>
      </c>
      <c r="R227" s="200" t="s">
        <v>90</v>
      </c>
    </row>
    <row r="228" spans="1:23" s="67" customFormat="1" x14ac:dyDescent="0.2">
      <c r="A228" s="86"/>
      <c r="B228" s="86"/>
      <c r="C228" s="68"/>
      <c r="D228" s="503"/>
      <c r="E228" s="504"/>
      <c r="F228" s="505"/>
      <c r="G228" s="69"/>
      <c r="H228" s="69"/>
      <c r="I228" s="70"/>
      <c r="J228" s="250"/>
      <c r="K228" s="250"/>
      <c r="L228" s="70"/>
      <c r="M228" s="70"/>
      <c r="N228" s="71"/>
      <c r="O228" s="72"/>
      <c r="P228" s="53"/>
      <c r="Q228" s="17"/>
      <c r="R228" s="17"/>
      <c r="S228" s="73"/>
    </row>
    <row r="229" spans="1:23" ht="24.95" customHeight="1" x14ac:dyDescent="0.2">
      <c r="C229" s="74">
        <v>1</v>
      </c>
      <c r="D229" s="506" t="e">
        <f>#REF!</f>
        <v>#REF!</v>
      </c>
      <c r="E229" s="507">
        <f>IFERROR(VLOOKUP(D229,Planilha!$B$10:$AC$943,4,FALSE),0)</f>
        <v>0</v>
      </c>
      <c r="F229" s="508">
        <f>IFERROR(VLOOKUP(E229,Planilha!$B$10:$AC$943,4,FALSE),0)</f>
        <v>0</v>
      </c>
      <c r="G229" s="75" t="e">
        <f>#REF!</f>
        <v>#REF!</v>
      </c>
      <c r="H229" s="76">
        <v>1</v>
      </c>
      <c r="I229" s="77">
        <f>219024/234</f>
        <v>936</v>
      </c>
      <c r="J229" s="77">
        <v>789.41269144205012</v>
      </c>
      <c r="K229" s="77">
        <f>211770/234</f>
        <v>905</v>
      </c>
      <c r="L229" s="77"/>
      <c r="M229" s="77"/>
      <c r="N229" s="78">
        <f>IFERROR(+AVERAGE(I229,J229,K229,L229,M229),0)</f>
        <v>876.80423048068349</v>
      </c>
      <c r="O229" s="58"/>
      <c r="P229" s="18"/>
      <c r="Q229" s="18">
        <f>N229</f>
        <v>876.80423048068349</v>
      </c>
      <c r="R229" s="18"/>
      <c r="U229" s="53"/>
      <c r="V229" s="18"/>
      <c r="W229" s="53"/>
    </row>
    <row r="230" spans="1:23" ht="24.95" customHeight="1" x14ac:dyDescent="0.2">
      <c r="C230" s="74">
        <v>2</v>
      </c>
      <c r="D230" s="506" t="e">
        <f>#REF!</f>
        <v>#REF!</v>
      </c>
      <c r="E230" s="507">
        <f>IFERROR(VLOOKUP(D230,Planilha!$B$10:$AC$943,4,FALSE),0)</f>
        <v>0</v>
      </c>
      <c r="F230" s="508">
        <f>IFERROR(VLOOKUP(E230,Planilha!$B$10:$AC$943,4,FALSE),0)</f>
        <v>0</v>
      </c>
      <c r="G230" s="75" t="e">
        <f>#REF!</f>
        <v>#REF!</v>
      </c>
      <c r="H230" s="76">
        <v>1</v>
      </c>
      <c r="I230" s="77">
        <f>40100/42.8</f>
        <v>936.91588785046736</v>
      </c>
      <c r="J230" s="77">
        <v>789.41269144205012</v>
      </c>
      <c r="K230" s="77">
        <f>46524.24/42.84</f>
        <v>1085.9999999999998</v>
      </c>
      <c r="L230" s="77"/>
      <c r="M230" s="77"/>
      <c r="N230" s="78">
        <f t="shared" ref="N230:N245" si="13">IFERROR(+AVERAGE(I230,J230,K230,L230,M230),0)</f>
        <v>937.44285976417234</v>
      </c>
      <c r="O230" s="58"/>
      <c r="P230" s="18"/>
      <c r="Q230" s="18">
        <f>N230</f>
        <v>937.44285976417234</v>
      </c>
      <c r="R230" s="18"/>
      <c r="U230" s="53"/>
      <c r="V230" s="18"/>
      <c r="W230" s="53"/>
    </row>
    <row r="231" spans="1:23" ht="24.95" customHeight="1" x14ac:dyDescent="0.2">
      <c r="C231" s="74">
        <v>3</v>
      </c>
      <c r="D231" s="506" t="e">
        <f>#REF!</f>
        <v>#REF!</v>
      </c>
      <c r="E231" s="507">
        <f>IFERROR(VLOOKUP(D231,Planilha!$B$10:$AC$943,4,FALSE),0)</f>
        <v>0</v>
      </c>
      <c r="F231" s="508">
        <f>IFERROR(VLOOKUP(E231,Planilha!$B$10:$AC$943,4,FALSE),0)</f>
        <v>0</v>
      </c>
      <c r="G231" s="75" t="e">
        <f>#REF!</f>
        <v>#REF!</v>
      </c>
      <c r="H231" s="76">
        <v>1</v>
      </c>
      <c r="I231" s="77">
        <f>82370/303.1</f>
        <v>271.75849554602439</v>
      </c>
      <c r="J231" s="77">
        <v>150.59404915949551</v>
      </c>
      <c r="K231" s="77">
        <f>58801.4/303.1</f>
        <v>194</v>
      </c>
      <c r="L231" s="77"/>
      <c r="M231" s="77"/>
      <c r="N231" s="78">
        <f t="shared" si="13"/>
        <v>205.45084823517331</v>
      </c>
      <c r="O231" s="58"/>
      <c r="P231" s="18"/>
      <c r="Q231" s="18"/>
      <c r="R231" s="18"/>
      <c r="U231" s="53"/>
      <c r="V231" s="18"/>
      <c r="W231" s="53"/>
    </row>
    <row r="232" spans="1:23" ht="24.95" customHeight="1" x14ac:dyDescent="0.2">
      <c r="C232" s="74">
        <v>4</v>
      </c>
      <c r="D232" s="506" t="e">
        <f>#REF!</f>
        <v>#REF!</v>
      </c>
      <c r="E232" s="507">
        <f>IFERROR(VLOOKUP(D232,Planilha!$B$10:$AC$943,4,FALSE),0)</f>
        <v>0</v>
      </c>
      <c r="F232" s="508">
        <f>IFERROR(VLOOKUP(E232,Planilha!$B$10:$AC$943,4,FALSE),0)</f>
        <v>0</v>
      </c>
      <c r="G232" s="75" t="e">
        <f>#REF!</f>
        <v>#REF!</v>
      </c>
      <c r="H232" s="76">
        <v>1</v>
      </c>
      <c r="I232" s="77">
        <f>25500/94.8</f>
        <v>268.98734177215192</v>
      </c>
      <c r="J232" s="77">
        <v>150.59565190586804</v>
      </c>
      <c r="K232" s="77">
        <f>21822.96/94.8</f>
        <v>230.2</v>
      </c>
      <c r="L232" s="77"/>
      <c r="M232" s="77"/>
      <c r="N232" s="78">
        <f t="shared" si="13"/>
        <v>216.59433122600663</v>
      </c>
      <c r="O232" s="58"/>
      <c r="P232" s="18"/>
      <c r="Q232" s="18"/>
      <c r="R232" s="18"/>
      <c r="U232" s="53"/>
      <c r="V232" s="18"/>
      <c r="W232" s="53"/>
    </row>
    <row r="233" spans="1:23" ht="24.95" customHeight="1" x14ac:dyDescent="0.2">
      <c r="C233" s="74">
        <v>5</v>
      </c>
      <c r="D233" s="506" t="e">
        <f>#REF!</f>
        <v>#REF!</v>
      </c>
      <c r="E233" s="507">
        <f>IFERROR(VLOOKUP(D233,Planilha!$B$10:$AC$943,4,FALSE),0)</f>
        <v>0</v>
      </c>
      <c r="F233" s="508">
        <f>IFERROR(VLOOKUP(E233,Planilha!$B$10:$AC$943,4,FALSE),0)</f>
        <v>0</v>
      </c>
      <c r="G233" s="75" t="e">
        <f>#REF!</f>
        <v>#REF!</v>
      </c>
      <c r="H233" s="76">
        <v>1</v>
      </c>
      <c r="I233" s="264">
        <f>9400/51</f>
        <v>184.31372549019608</v>
      </c>
      <c r="J233" s="264">
        <v>52.708478167053805</v>
      </c>
      <c r="K233" s="77">
        <f>6201.6/51</f>
        <v>121.60000000000001</v>
      </c>
      <c r="L233" s="77"/>
      <c r="M233" s="264"/>
      <c r="N233" s="78">
        <f t="shared" si="13"/>
        <v>119.54073455241662</v>
      </c>
      <c r="O233" s="58"/>
      <c r="P233" s="18"/>
      <c r="Q233" s="18"/>
      <c r="R233" s="18"/>
      <c r="U233" s="53"/>
      <c r="V233" s="18"/>
      <c r="W233" s="53"/>
    </row>
    <row r="234" spans="1:23" ht="24.95" customHeight="1" x14ac:dyDescent="0.2">
      <c r="C234" s="74">
        <v>6</v>
      </c>
      <c r="D234" s="506" t="e">
        <f>#REF!</f>
        <v>#REF!</v>
      </c>
      <c r="E234" s="507">
        <f>IFERROR(VLOOKUP(D234,Planilha!$B$10:$AC$943,4,FALSE),0)</f>
        <v>0</v>
      </c>
      <c r="F234" s="508">
        <f>IFERROR(VLOOKUP(E234,Planilha!$B$10:$AC$943,4,FALSE),0)</f>
        <v>0</v>
      </c>
      <c r="G234" s="75" t="e">
        <f>#REF!</f>
        <v>#REF!</v>
      </c>
      <c r="H234" s="76">
        <v>1</v>
      </c>
      <c r="I234" s="264">
        <f>7500/40</f>
        <v>187.5</v>
      </c>
      <c r="J234" s="264">
        <v>52.708478167053805</v>
      </c>
      <c r="K234" s="77">
        <f>5732.8/40</f>
        <v>143.32</v>
      </c>
      <c r="L234" s="77"/>
      <c r="M234" s="264"/>
      <c r="N234" s="78">
        <f t="shared" si="13"/>
        <v>127.8428260556846</v>
      </c>
      <c r="O234" s="58"/>
      <c r="P234" s="18"/>
      <c r="Q234" s="18"/>
      <c r="R234" s="18"/>
      <c r="U234" s="53"/>
      <c r="V234" s="18"/>
      <c r="W234" s="53"/>
    </row>
    <row r="235" spans="1:23" ht="24.95" customHeight="1" x14ac:dyDescent="0.2">
      <c r="C235" s="74">
        <v>7</v>
      </c>
      <c r="D235" s="506" t="e">
        <f>#REF!</f>
        <v>#REF!</v>
      </c>
      <c r="E235" s="507">
        <f>IFERROR(VLOOKUP(D235,Planilha!$B$10:$AC$943,4,FALSE),0)</f>
        <v>0</v>
      </c>
      <c r="F235" s="508">
        <f>IFERROR(VLOOKUP(E235,Planilha!$B$10:$AC$943,4,FALSE),0)</f>
        <v>0</v>
      </c>
      <c r="G235" s="75" t="s">
        <v>23</v>
      </c>
      <c r="H235" s="76">
        <v>1</v>
      </c>
      <c r="I235" s="264">
        <f>5050/4</f>
        <v>1262.5</v>
      </c>
      <c r="J235" s="264">
        <v>965.19408944612883</v>
      </c>
      <c r="K235" s="264">
        <f>3524.09/4</f>
        <v>881.02250000000004</v>
      </c>
      <c r="L235" s="264"/>
      <c r="M235" s="264"/>
      <c r="N235" s="78">
        <f t="shared" si="13"/>
        <v>1036.2388631487095</v>
      </c>
      <c r="O235" s="58"/>
      <c r="P235" s="18"/>
      <c r="Q235" s="18"/>
      <c r="R235" s="18"/>
      <c r="U235" s="53"/>
      <c r="V235" s="53"/>
    </row>
    <row r="236" spans="1:23" ht="24.95" customHeight="1" x14ac:dyDescent="0.2">
      <c r="C236" s="74">
        <v>8</v>
      </c>
      <c r="D236" s="506" t="e">
        <f>#REF!</f>
        <v>#REF!</v>
      </c>
      <c r="E236" s="507">
        <f>IFERROR(VLOOKUP(D236,Planilha!$B$10:$AC$943,4,FALSE),0)</f>
        <v>0</v>
      </c>
      <c r="F236" s="508">
        <f>IFERROR(VLOOKUP(E236,Planilha!$B$10:$AC$943,4,FALSE),0)</f>
        <v>0</v>
      </c>
      <c r="G236" s="75" t="e">
        <f>#REF!</f>
        <v>#REF!</v>
      </c>
      <c r="H236" s="76">
        <v>1</v>
      </c>
      <c r="I236" s="264">
        <f>29500/46</f>
        <v>641.304347826087</v>
      </c>
      <c r="J236" s="264">
        <v>565.03048116620084</v>
      </c>
      <c r="K236" s="264">
        <f>17921.57/46</f>
        <v>389.59934782608696</v>
      </c>
      <c r="L236" s="264"/>
      <c r="M236" s="264"/>
      <c r="N236" s="78">
        <f t="shared" si="13"/>
        <v>531.97805893945826</v>
      </c>
      <c r="O236" s="58"/>
      <c r="P236" s="18"/>
      <c r="Q236" s="18"/>
      <c r="R236" s="18"/>
      <c r="U236" s="53"/>
      <c r="V236" s="53"/>
    </row>
    <row r="237" spans="1:23" ht="24.95" customHeight="1" x14ac:dyDescent="0.2">
      <c r="C237" s="74">
        <v>9</v>
      </c>
      <c r="D237" s="506" t="e">
        <f>#REF!</f>
        <v>#REF!</v>
      </c>
      <c r="E237" s="507">
        <f>IFERROR(VLOOKUP(D237,Planilha!$B$10:$AC$943,4,FALSE),0)</f>
        <v>0</v>
      </c>
      <c r="F237" s="508">
        <f>IFERROR(VLOOKUP(E237,Planilha!$B$10:$AC$943,4,FALSE),0)</f>
        <v>0</v>
      </c>
      <c r="G237" s="75" t="e">
        <f>#REF!</f>
        <v>#REF!</v>
      </c>
      <c r="H237" s="76">
        <v>1</v>
      </c>
      <c r="I237" s="264">
        <f>17700/52</f>
        <v>340.38461538461536</v>
      </c>
      <c r="J237" s="264">
        <v>206.27575713608601</v>
      </c>
      <c r="K237" s="264">
        <f>8673.6/52</f>
        <v>166.8</v>
      </c>
      <c r="L237" s="264"/>
      <c r="M237" s="264"/>
      <c r="N237" s="78">
        <f t="shared" si="13"/>
        <v>237.82012417356714</v>
      </c>
      <c r="O237" s="58"/>
      <c r="P237" s="18"/>
      <c r="Q237" s="18"/>
      <c r="R237" s="18"/>
      <c r="U237" s="53"/>
      <c r="V237" s="53"/>
    </row>
    <row r="238" spans="1:23" ht="24.95" customHeight="1" x14ac:dyDescent="0.2">
      <c r="C238" s="74">
        <v>10</v>
      </c>
      <c r="D238" s="506" t="e">
        <f>#REF!</f>
        <v>#REF!</v>
      </c>
      <c r="E238" s="507">
        <f>IFERROR(VLOOKUP(D238,Planilha!$B$10:$AC$943,4,FALSE),0)</f>
        <v>0</v>
      </c>
      <c r="F238" s="508">
        <f>IFERROR(VLOOKUP(E238,Planilha!$B$10:$AC$943,4,FALSE),0)</f>
        <v>0</v>
      </c>
      <c r="G238" s="75" t="e">
        <f>#REF!</f>
        <v>#REF!</v>
      </c>
      <c r="H238" s="76">
        <v>1</v>
      </c>
      <c r="I238" s="264">
        <f>8400/8</f>
        <v>1050</v>
      </c>
      <c r="J238" s="264">
        <v>824.92676214217693</v>
      </c>
      <c r="K238" s="264">
        <v>682.30877432570855</v>
      </c>
      <c r="L238" s="264"/>
      <c r="M238" s="264"/>
      <c r="N238" s="78">
        <f t="shared" si="13"/>
        <v>852.41184548929505</v>
      </c>
      <c r="O238" s="58"/>
      <c r="P238" s="18"/>
      <c r="Q238" s="18"/>
      <c r="R238" s="18"/>
      <c r="U238" s="53"/>
      <c r="V238" s="53"/>
    </row>
    <row r="239" spans="1:23" ht="24.95" customHeight="1" x14ac:dyDescent="0.2">
      <c r="C239" s="74">
        <v>11</v>
      </c>
      <c r="D239" s="506" t="e">
        <f>#REF!</f>
        <v>#REF!</v>
      </c>
      <c r="E239" s="507">
        <f>IFERROR(VLOOKUP(D239,Planilha!$B$10:$AC$943,4,FALSE),0)</f>
        <v>0</v>
      </c>
      <c r="F239" s="508">
        <f>IFERROR(VLOOKUP(E239,Planilha!$B$10:$AC$943,4,FALSE),0)</f>
        <v>0</v>
      </c>
      <c r="G239" s="75" t="e">
        <f>#REF!</f>
        <v>#REF!</v>
      </c>
      <c r="H239" s="76">
        <v>1</v>
      </c>
      <c r="I239" s="264">
        <f>4100/4</f>
        <v>1025</v>
      </c>
      <c r="J239" s="264">
        <v>783.6804240350682</v>
      </c>
      <c r="K239" s="264">
        <v>648.193335609423</v>
      </c>
      <c r="L239" s="264"/>
      <c r="M239" s="264"/>
      <c r="N239" s="78">
        <f t="shared" si="13"/>
        <v>818.95791988149711</v>
      </c>
      <c r="O239" s="58"/>
      <c r="P239" s="18"/>
      <c r="Q239" s="18"/>
      <c r="R239" s="18"/>
      <c r="U239" s="53"/>
      <c r="V239" s="53"/>
    </row>
    <row r="240" spans="1:23" ht="24.95" customHeight="1" x14ac:dyDescent="0.2">
      <c r="C240" s="74">
        <v>12</v>
      </c>
      <c r="D240" s="506" t="e">
        <f>#REF!</f>
        <v>#REF!</v>
      </c>
      <c r="E240" s="507">
        <f>IFERROR(VLOOKUP(D240,Planilha!$B$10:$AC$943,4,FALSE),0)</f>
        <v>0</v>
      </c>
      <c r="F240" s="508">
        <f>IFERROR(VLOOKUP(E240,Planilha!$B$10:$AC$943,4,FALSE),0)</f>
        <v>0</v>
      </c>
      <c r="G240" s="75" t="e">
        <f>#REF!</f>
        <v>#REF!</v>
      </c>
      <c r="H240" s="76">
        <v>1</v>
      </c>
      <c r="I240" s="264">
        <f>4700/4</f>
        <v>1175</v>
      </c>
      <c r="J240" s="264">
        <v>921.16821772543108</v>
      </c>
      <c r="K240" s="264">
        <v>762.8591157391603</v>
      </c>
      <c r="L240" s="264"/>
      <c r="M240" s="264"/>
      <c r="N240" s="78">
        <f t="shared" si="13"/>
        <v>953.00911115486372</v>
      </c>
      <c r="O240" s="58"/>
      <c r="P240" s="18"/>
      <c r="Q240" s="18"/>
      <c r="R240" s="18"/>
      <c r="U240" s="53"/>
      <c r="V240" s="53"/>
    </row>
    <row r="241" spans="1:22" ht="24.95" customHeight="1" x14ac:dyDescent="0.2">
      <c r="C241" s="74">
        <v>13</v>
      </c>
      <c r="D241" s="506" t="e">
        <f>#REF!</f>
        <v>#REF!</v>
      </c>
      <c r="E241" s="507">
        <f>IFERROR(VLOOKUP(D241,Planilha!$B$10:$AC$943,4,FALSE),0)</f>
        <v>0</v>
      </c>
      <c r="F241" s="508">
        <f>IFERROR(VLOOKUP(E241,Planilha!$B$10:$AC$943,4,FALSE),0)</f>
        <v>0</v>
      </c>
      <c r="G241" s="75" t="e">
        <f>#REF!</f>
        <v>#REF!</v>
      </c>
      <c r="H241" s="76">
        <v>1</v>
      </c>
      <c r="I241" s="264">
        <f>10500/3</f>
        <v>3500</v>
      </c>
      <c r="J241" s="264">
        <v>1600.2051543406119</v>
      </c>
      <c r="K241" s="264">
        <v>939.19748987854246</v>
      </c>
      <c r="L241" s="264"/>
      <c r="M241" s="264"/>
      <c r="N241" s="78">
        <f t="shared" si="13"/>
        <v>2013.1342147397183</v>
      </c>
      <c r="O241" s="58"/>
      <c r="P241" s="18"/>
      <c r="Q241" s="18"/>
      <c r="R241" s="18"/>
      <c r="U241" s="53"/>
      <c r="V241" s="53"/>
    </row>
    <row r="242" spans="1:22" ht="24.95" customHeight="1" x14ac:dyDescent="0.2">
      <c r="C242" s="74">
        <v>14</v>
      </c>
      <c r="D242" s="506" t="e">
        <f>#REF!</f>
        <v>#REF!</v>
      </c>
      <c r="E242" s="507">
        <f>IFERROR(VLOOKUP(D242,Planilha!$B$10:$AC$943,4,FALSE),0)</f>
        <v>0</v>
      </c>
      <c r="F242" s="508">
        <f>IFERROR(VLOOKUP(E242,Planilha!$B$10:$AC$943,4,FALSE),0)</f>
        <v>0</v>
      </c>
      <c r="G242" s="75" t="e">
        <f>#REF!</f>
        <v>#REF!</v>
      </c>
      <c r="H242" s="76">
        <v>1</v>
      </c>
      <c r="I242" s="264">
        <f>10500/3</f>
        <v>3500</v>
      </c>
      <c r="J242" s="264">
        <v>1656.3460034308434</v>
      </c>
      <c r="K242" s="264">
        <v>985.9625101214574</v>
      </c>
      <c r="L242" s="264"/>
      <c r="M242" s="264"/>
      <c r="N242" s="78">
        <f t="shared" si="13"/>
        <v>2047.4361711841004</v>
      </c>
      <c r="O242" s="58"/>
      <c r="P242" s="18"/>
      <c r="Q242" s="18"/>
      <c r="R242" s="18"/>
      <c r="U242" s="53"/>
      <c r="V242" s="53"/>
    </row>
    <row r="243" spans="1:22" ht="24.95" customHeight="1" x14ac:dyDescent="0.2">
      <c r="C243" s="74">
        <v>15</v>
      </c>
      <c r="D243" s="506" t="e">
        <f>#REF!</f>
        <v>#REF!</v>
      </c>
      <c r="E243" s="507">
        <f>IFERROR(VLOOKUP(D243,Planilha!$B$10:$AC$943,4,FALSE),0)</f>
        <v>0</v>
      </c>
      <c r="F243" s="508">
        <f>IFERROR(VLOOKUP(E243,Planilha!$B$10:$AC$943,4,FALSE),0)</f>
        <v>0</v>
      </c>
      <c r="G243" s="75" t="e">
        <f>#REF!</f>
        <v>#REF!</v>
      </c>
      <c r="H243" s="76">
        <v>1</v>
      </c>
      <c r="I243" s="264">
        <f>27800/6</f>
        <v>4633.333333333333</v>
      </c>
      <c r="J243" s="264">
        <v>2638.4523809523807</v>
      </c>
      <c r="K243" s="264">
        <f>14133.5/6</f>
        <v>2355.5833333333335</v>
      </c>
      <c r="L243" s="264"/>
      <c r="M243" s="264"/>
      <c r="N243" s="78">
        <f t="shared" si="13"/>
        <v>3209.1230158730159</v>
      </c>
      <c r="O243" s="58"/>
      <c r="P243" s="18"/>
      <c r="Q243" s="18"/>
      <c r="R243" s="18"/>
    </row>
    <row r="244" spans="1:22" ht="24.95" customHeight="1" x14ac:dyDescent="0.2">
      <c r="C244" s="74">
        <v>16</v>
      </c>
      <c r="D244" s="506" t="e">
        <f>#REF!</f>
        <v>#REF!</v>
      </c>
      <c r="E244" s="507">
        <f>IFERROR(VLOOKUP(D244,Planilha!$B$10:$AC$943,4,FALSE),0)</f>
        <v>0</v>
      </c>
      <c r="F244" s="508">
        <f>IFERROR(VLOOKUP(E244,Planilha!$B$10:$AC$943,4,FALSE),0)</f>
        <v>0</v>
      </c>
      <c r="G244" s="75" t="e">
        <f>#REF!</f>
        <v>#REF!</v>
      </c>
      <c r="H244" s="76">
        <v>1</v>
      </c>
      <c r="I244" s="264">
        <f>10800/3</f>
        <v>3600</v>
      </c>
      <c r="J244" s="264">
        <v>2334.0155677655675</v>
      </c>
      <c r="K244" s="264">
        <f>6156.23/3</f>
        <v>2052.0766666666664</v>
      </c>
      <c r="L244" s="264"/>
      <c r="M244" s="264"/>
      <c r="N244" s="78">
        <f t="shared" si="13"/>
        <v>2662.0307448107446</v>
      </c>
      <c r="O244" s="58"/>
      <c r="P244" s="18"/>
      <c r="Q244" s="18"/>
      <c r="R244" s="18"/>
    </row>
    <row r="245" spans="1:22" ht="24.95" customHeight="1" x14ac:dyDescent="0.2">
      <c r="C245" s="74">
        <v>17</v>
      </c>
      <c r="D245" s="506" t="e">
        <f>#REF!</f>
        <v>#REF!</v>
      </c>
      <c r="E245" s="507">
        <f>IFERROR(VLOOKUP(D245,Planilha!$B$10:$AC$943,4,FALSE),0)</f>
        <v>0</v>
      </c>
      <c r="F245" s="508">
        <f>IFERROR(VLOOKUP(E245,Planilha!$B$10:$AC$943,4,FALSE),0)</f>
        <v>0</v>
      </c>
      <c r="G245" s="75" t="e">
        <f>#REF!</f>
        <v>#REF!</v>
      </c>
      <c r="H245" s="76">
        <v>1</v>
      </c>
      <c r="I245" s="268">
        <f>5800/2</f>
        <v>2900</v>
      </c>
      <c r="J245" s="268">
        <v>2435.494505494506</v>
      </c>
      <c r="K245" s="268">
        <f>4059.37/2</f>
        <v>2029.6849999999999</v>
      </c>
      <c r="L245" s="264"/>
      <c r="M245" s="268"/>
      <c r="N245" s="78">
        <f t="shared" si="13"/>
        <v>2455.059835164835</v>
      </c>
      <c r="O245" s="58"/>
      <c r="P245" s="18"/>
      <c r="Q245" s="18"/>
      <c r="R245" s="18"/>
    </row>
    <row r="246" spans="1:22" ht="15.75" thickBot="1" x14ac:dyDescent="0.25">
      <c r="C246" s="79"/>
      <c r="D246" s="493"/>
      <c r="E246" s="494"/>
      <c r="F246" s="495"/>
      <c r="G246" s="80"/>
      <c r="H246" s="80"/>
      <c r="I246" s="81"/>
      <c r="J246" s="81"/>
      <c r="K246" s="81"/>
      <c r="L246" s="81"/>
      <c r="M246" s="81"/>
      <c r="N246" s="82"/>
      <c r="O246" s="58"/>
    </row>
    <row r="247" spans="1:22" x14ac:dyDescent="0.2">
      <c r="O247" s="58"/>
    </row>
    <row r="248" spans="1:22" ht="15.75" thickBot="1" x14ac:dyDescent="0.25">
      <c r="O248" s="58"/>
    </row>
    <row r="249" spans="1:22" s="49" customFormat="1" ht="15.75" thickBot="1" x14ac:dyDescent="0.25">
      <c r="A249" s="87"/>
      <c r="B249" s="87"/>
      <c r="C249" s="46" t="s">
        <v>42</v>
      </c>
      <c r="D249" s="47"/>
      <c r="E249" s="47"/>
      <c r="F249" s="47"/>
      <c r="G249" s="47"/>
      <c r="H249" s="48"/>
      <c r="I249" s="48"/>
      <c r="J249" s="48"/>
      <c r="K249" s="48"/>
      <c r="L249" s="48"/>
      <c r="M249" s="48"/>
      <c r="N249" s="48"/>
      <c r="O249" s="58"/>
      <c r="S249" s="50"/>
    </row>
    <row r="250" spans="1:22" s="49" customFormat="1" ht="12.75" x14ac:dyDescent="0.2">
      <c r="A250" s="87"/>
      <c r="B250" s="87"/>
      <c r="C250" s="551"/>
      <c r="D250" s="551"/>
      <c r="E250" s="551"/>
      <c r="F250" s="551"/>
      <c r="G250" s="551"/>
      <c r="H250" s="551"/>
      <c r="I250" s="551"/>
      <c r="J250" s="551"/>
      <c r="K250" s="551"/>
      <c r="L250" s="551"/>
      <c r="M250" s="551"/>
      <c r="N250" s="551"/>
      <c r="O250" s="59"/>
      <c r="S250" s="50"/>
    </row>
    <row r="251" spans="1:22" s="49" customFormat="1" ht="12.75" x14ac:dyDescent="0.2">
      <c r="A251" s="87"/>
      <c r="B251" s="87"/>
      <c r="C251" s="497"/>
      <c r="D251" s="497"/>
      <c r="E251" s="497"/>
      <c r="F251" s="497"/>
      <c r="G251" s="497"/>
      <c r="H251" s="497"/>
      <c r="I251" s="497"/>
      <c r="J251" s="497"/>
      <c r="K251" s="497"/>
      <c r="L251" s="497"/>
      <c r="M251" s="497"/>
      <c r="N251" s="497"/>
      <c r="O251" s="59"/>
      <c r="S251" s="50"/>
    </row>
    <row r="252" spans="1:22" s="49" customFormat="1" ht="12.75" x14ac:dyDescent="0.2">
      <c r="A252" s="87"/>
      <c r="B252" s="87"/>
      <c r="C252" s="497"/>
      <c r="D252" s="497"/>
      <c r="E252" s="497"/>
      <c r="F252" s="497"/>
      <c r="G252" s="497"/>
      <c r="H252" s="497"/>
      <c r="I252" s="497"/>
      <c r="J252" s="497"/>
      <c r="K252" s="497"/>
      <c r="L252" s="497"/>
      <c r="M252" s="497"/>
      <c r="N252" s="497"/>
      <c r="O252" s="59"/>
      <c r="S252" s="50"/>
    </row>
    <row r="253" spans="1:22" s="49" customFormat="1" ht="12.75" x14ac:dyDescent="0.2">
      <c r="A253" s="87"/>
      <c r="B253" s="87"/>
      <c r="C253" s="497"/>
      <c r="D253" s="497"/>
      <c r="E253" s="497"/>
      <c r="F253" s="497"/>
      <c r="G253" s="497"/>
      <c r="H253" s="497"/>
      <c r="I253" s="497"/>
      <c r="J253" s="497"/>
      <c r="K253" s="497"/>
      <c r="L253" s="497"/>
      <c r="M253" s="497"/>
      <c r="N253" s="497"/>
      <c r="O253" s="59"/>
      <c r="S253" s="50"/>
    </row>
    <row r="254" spans="1:22" s="49" customFormat="1" ht="13.5" thickBot="1" x14ac:dyDescent="0.25">
      <c r="A254" s="87"/>
      <c r="B254" s="87"/>
      <c r="C254" s="498"/>
      <c r="D254" s="498"/>
      <c r="E254" s="498"/>
      <c r="F254" s="498"/>
      <c r="G254" s="498"/>
      <c r="H254" s="498"/>
      <c r="I254" s="498"/>
      <c r="J254" s="498"/>
      <c r="K254" s="498"/>
      <c r="L254" s="498"/>
      <c r="M254" s="498"/>
      <c r="N254" s="498"/>
      <c r="O254" s="59"/>
      <c r="S254" s="50"/>
    </row>
    <row r="255" spans="1:22" s="10" customFormat="1" ht="12" thickBot="1" x14ac:dyDescent="0.25">
      <c r="C255" s="6"/>
      <c r="D255" s="6"/>
      <c r="E255" s="6"/>
      <c r="F255" s="7"/>
      <c r="G255" s="8"/>
      <c r="H255" s="8"/>
      <c r="I255" s="9"/>
      <c r="N255" s="4"/>
      <c r="O255" s="55"/>
      <c r="S255" s="11"/>
    </row>
    <row r="256" spans="1:22" s="34" customFormat="1" ht="16.5" thickBot="1" x14ac:dyDescent="0.25">
      <c r="A256" s="84"/>
      <c r="B256" s="84"/>
      <c r="C256" s="30">
        <v>8</v>
      </c>
      <c r="D256" s="31" t="s">
        <v>1315</v>
      </c>
      <c r="E256" s="32"/>
      <c r="F256" s="32"/>
      <c r="G256" s="32"/>
      <c r="H256" s="32"/>
      <c r="I256" s="32"/>
      <c r="J256" s="32"/>
      <c r="K256" s="32"/>
      <c r="L256" s="32"/>
      <c r="M256" s="32"/>
      <c r="N256" s="33"/>
      <c r="O256" s="56"/>
      <c r="S256" s="35"/>
    </row>
    <row r="257" spans="1:22" s="40" customFormat="1" ht="16.5" customHeight="1" thickBot="1" x14ac:dyDescent="0.25">
      <c r="A257" s="85"/>
      <c r="B257" s="85"/>
      <c r="C257" s="36" t="s">
        <v>619</v>
      </c>
      <c r="D257" s="37" t="s">
        <v>1316</v>
      </c>
      <c r="E257" s="38"/>
      <c r="F257" s="38"/>
      <c r="G257" s="38"/>
      <c r="H257" s="38"/>
      <c r="I257" s="38"/>
      <c r="J257" s="38"/>
      <c r="K257" s="38"/>
      <c r="L257" s="38"/>
      <c r="M257" s="38"/>
      <c r="N257" s="39"/>
      <c r="O257" s="57"/>
      <c r="S257" s="41"/>
    </row>
    <row r="258" spans="1:22" s="10" customFormat="1" ht="11.25" x14ac:dyDescent="0.2">
      <c r="C258" s="6"/>
      <c r="D258" s="6"/>
      <c r="E258" s="6"/>
      <c r="F258" s="7"/>
      <c r="G258" s="8"/>
      <c r="H258" s="8"/>
      <c r="I258" s="9"/>
      <c r="M258" s="4"/>
      <c r="N258" s="5"/>
      <c r="O258" s="55"/>
      <c r="S258" s="11"/>
    </row>
    <row r="259" spans="1:22" ht="18" thickBot="1" x14ac:dyDescent="0.25">
      <c r="C259" s="66" t="s">
        <v>34</v>
      </c>
      <c r="D259" s="537" t="s">
        <v>1322</v>
      </c>
      <c r="E259" s="538"/>
      <c r="F259" s="539"/>
      <c r="G259" s="540" t="s">
        <v>35</v>
      </c>
      <c r="H259" s="541"/>
      <c r="I259" s="42" t="s">
        <v>1323</v>
      </c>
      <c r="J259" s="66" t="s">
        <v>36</v>
      </c>
      <c r="K259" s="542" t="s">
        <v>1324</v>
      </c>
      <c r="L259" s="543"/>
      <c r="M259" s="66" t="s">
        <v>37</v>
      </c>
      <c r="N259" s="43">
        <v>44700</v>
      </c>
      <c r="O259" s="58"/>
    </row>
    <row r="260" spans="1:22" ht="18.75" thickTop="1" thickBot="1" x14ac:dyDescent="0.25">
      <c r="C260" s="66" t="s">
        <v>34</v>
      </c>
      <c r="D260" s="537" t="s">
        <v>1319</v>
      </c>
      <c r="E260" s="538"/>
      <c r="F260" s="539"/>
      <c r="G260" s="540" t="s">
        <v>35</v>
      </c>
      <c r="H260" s="541"/>
      <c r="I260" s="42" t="s">
        <v>1320</v>
      </c>
      <c r="J260" s="66" t="s">
        <v>36</v>
      </c>
      <c r="K260" s="542" t="s">
        <v>1321</v>
      </c>
      <c r="L260" s="543"/>
      <c r="M260" s="66" t="s">
        <v>37</v>
      </c>
      <c r="N260" s="43">
        <v>44701</v>
      </c>
      <c r="O260" s="58"/>
    </row>
    <row r="261" spans="1:22" ht="18.75" thickTop="1" thickBot="1" x14ac:dyDescent="0.25">
      <c r="C261" s="66" t="s">
        <v>34</v>
      </c>
      <c r="D261" s="530" t="s">
        <v>1325</v>
      </c>
      <c r="E261" s="531"/>
      <c r="F261" s="532"/>
      <c r="G261" s="533" t="s">
        <v>35</v>
      </c>
      <c r="H261" s="534"/>
      <c r="I261" s="44" t="s">
        <v>1317</v>
      </c>
      <c r="J261" s="66" t="s">
        <v>36</v>
      </c>
      <c r="K261" s="535" t="s">
        <v>1318</v>
      </c>
      <c r="L261" s="536"/>
      <c r="M261" s="66" t="s">
        <v>37</v>
      </c>
      <c r="N261" s="45">
        <v>44700</v>
      </c>
      <c r="O261" s="58"/>
    </row>
    <row r="262" spans="1:22" ht="18.75" thickTop="1" thickBot="1" x14ac:dyDescent="0.25">
      <c r="C262" s="66" t="s">
        <v>34</v>
      </c>
      <c r="D262" s="530"/>
      <c r="E262" s="531"/>
      <c r="F262" s="532"/>
      <c r="G262" s="533" t="s">
        <v>35</v>
      </c>
      <c r="H262" s="534"/>
      <c r="I262" s="44"/>
      <c r="J262" s="66" t="s">
        <v>36</v>
      </c>
      <c r="K262" s="535"/>
      <c r="L262" s="536"/>
      <c r="M262" s="66" t="s">
        <v>37</v>
      </c>
      <c r="N262" s="45"/>
      <c r="O262" s="58"/>
    </row>
    <row r="263" spans="1:22" ht="18.75" thickTop="1" thickBot="1" x14ac:dyDescent="0.25">
      <c r="C263" s="66" t="s">
        <v>34</v>
      </c>
      <c r="D263" s="530"/>
      <c r="E263" s="531"/>
      <c r="F263" s="532"/>
      <c r="G263" s="533" t="s">
        <v>35</v>
      </c>
      <c r="H263" s="534"/>
      <c r="I263" s="44"/>
      <c r="J263" s="66" t="s">
        <v>36</v>
      </c>
      <c r="K263" s="535"/>
      <c r="L263" s="536"/>
      <c r="M263" s="66" t="s">
        <v>37</v>
      </c>
      <c r="N263" s="45"/>
      <c r="O263" s="58"/>
    </row>
    <row r="264" spans="1:22" ht="16.5" thickTop="1" thickBot="1" x14ac:dyDescent="0.25">
      <c r="O264" s="58"/>
    </row>
    <row r="265" spans="1:22" ht="15" customHeight="1" x14ac:dyDescent="0.2">
      <c r="C265" s="509" t="s">
        <v>19</v>
      </c>
      <c r="D265" s="499" t="s">
        <v>7</v>
      </c>
      <c r="E265" s="512"/>
      <c r="F265" s="500"/>
      <c r="G265" s="519" t="s">
        <v>30</v>
      </c>
      <c r="H265" s="522" t="s">
        <v>38</v>
      </c>
      <c r="I265" s="258" t="s">
        <v>39</v>
      </c>
      <c r="J265" s="258" t="s">
        <v>39</v>
      </c>
      <c r="K265" s="258" t="s">
        <v>39</v>
      </c>
      <c r="L265" s="258" t="s">
        <v>39</v>
      </c>
      <c r="M265" s="258" t="s">
        <v>39</v>
      </c>
      <c r="N265" s="525" t="s">
        <v>40</v>
      </c>
      <c r="O265" s="58"/>
    </row>
    <row r="266" spans="1:22" x14ac:dyDescent="0.2">
      <c r="C266" s="510"/>
      <c r="D266" s="513"/>
      <c r="E266" s="514"/>
      <c r="F266" s="515"/>
      <c r="G266" s="520"/>
      <c r="H266" s="523"/>
      <c r="I266" s="12" t="str">
        <f>D259</f>
        <v>TS</v>
      </c>
      <c r="J266" s="12" t="str">
        <f>D260</f>
        <v>EUROFLEX</v>
      </c>
      <c r="K266" s="12" t="str">
        <f>D261</f>
        <v>DIVSANIT</v>
      </c>
      <c r="L266" s="12">
        <f>D262</f>
        <v>0</v>
      </c>
      <c r="M266" s="12">
        <f>D263</f>
        <v>0</v>
      </c>
      <c r="N266" s="526"/>
      <c r="O266" s="58"/>
    </row>
    <row r="267" spans="1:22" ht="15" customHeight="1" x14ac:dyDescent="0.2">
      <c r="C267" s="510"/>
      <c r="D267" s="513"/>
      <c r="E267" s="514"/>
      <c r="F267" s="515"/>
      <c r="G267" s="520"/>
      <c r="H267" s="523"/>
      <c r="I267" s="528" t="s">
        <v>41</v>
      </c>
      <c r="J267" s="528" t="s">
        <v>41</v>
      </c>
      <c r="K267" s="528" t="s">
        <v>41</v>
      </c>
      <c r="L267" s="528" t="s">
        <v>41</v>
      </c>
      <c r="M267" s="528" t="s">
        <v>41</v>
      </c>
      <c r="N267" s="526"/>
      <c r="O267" s="58"/>
    </row>
    <row r="268" spans="1:22" ht="15.75" thickBot="1" x14ac:dyDescent="0.25">
      <c r="C268" s="511"/>
      <c r="D268" s="516"/>
      <c r="E268" s="517"/>
      <c r="F268" s="518"/>
      <c r="G268" s="521"/>
      <c r="H268" s="524"/>
      <c r="I268" s="529"/>
      <c r="J268" s="529"/>
      <c r="K268" s="529"/>
      <c r="L268" s="529"/>
      <c r="M268" s="529"/>
      <c r="N268" s="527"/>
      <c r="O268" s="58"/>
    </row>
    <row r="269" spans="1:22" ht="15.75" thickBot="1" x14ac:dyDescent="0.25">
      <c r="O269" s="58"/>
      <c r="P269" s="200" t="s">
        <v>79</v>
      </c>
      <c r="Q269" s="200" t="s">
        <v>89</v>
      </c>
      <c r="R269" s="200" t="s">
        <v>90</v>
      </c>
    </row>
    <row r="270" spans="1:22" s="67" customFormat="1" x14ac:dyDescent="0.2">
      <c r="A270" s="86"/>
      <c r="B270" s="86"/>
      <c r="C270" s="68"/>
      <c r="D270" s="503"/>
      <c r="E270" s="504"/>
      <c r="F270" s="505"/>
      <c r="G270" s="69"/>
      <c r="H270" s="69"/>
      <c r="I270" s="70"/>
      <c r="J270" s="70"/>
      <c r="K270" s="70"/>
      <c r="L270" s="70"/>
      <c r="M270" s="70"/>
      <c r="N270" s="71"/>
      <c r="O270" s="72"/>
      <c r="P270" s="53"/>
      <c r="Q270" s="17"/>
      <c r="R270" s="17"/>
      <c r="S270" s="73"/>
    </row>
    <row r="271" spans="1:22" ht="24.95" customHeight="1" x14ac:dyDescent="0.2">
      <c r="B271" s="83" t="s">
        <v>164</v>
      </c>
      <c r="C271" s="74">
        <v>1</v>
      </c>
      <c r="D271" s="506" t="str">
        <f>IFERROR(VLOOKUP(B271,Fontes!$A$9:$AC$6124,2,FALSE),0)</f>
        <v>Divisória sanitária em painéis de laminado estrutural TS com acabamento dupla face na cor branca, montantes de alumínio reforçado com pintura eletrostática na cor branca, 15 portas inclusas, referência Neocom ou equivalente</v>
      </c>
      <c r="E271" s="507">
        <f>IFERROR(VLOOKUP(D271,Planilha!$B$10:$AC$943,4,FALSE),0)</f>
        <v>0</v>
      </c>
      <c r="F271" s="508">
        <f>IFERROR(VLOOKUP(E271,Planilha!$B$10:$AC$943,4,FALSE),0)</f>
        <v>0</v>
      </c>
      <c r="G271" s="75" t="str">
        <f>IFERROR(VLOOKUP(B271,Fontes!$A$9:$AC$6124,3,FALSE),0)</f>
        <v>m2</v>
      </c>
      <c r="H271" s="76">
        <v>1</v>
      </c>
      <c r="I271" s="77">
        <f>(51126.6+2004)/60.75</f>
        <v>874.57777777777778</v>
      </c>
      <c r="J271" s="77">
        <f>(44347.5+3146.4)/60.75</f>
        <v>781.79259259259265</v>
      </c>
      <c r="K271" s="77">
        <v>1215.4531895936857</v>
      </c>
      <c r="L271" s="77"/>
      <c r="M271" s="77"/>
      <c r="N271" s="78">
        <f>IFERROR(+AVERAGE(I271,J271,K271,L271,M271),0)</f>
        <v>957.27451998801871</v>
      </c>
      <c r="O271" s="58"/>
      <c r="P271" s="18"/>
      <c r="Q271" s="18">
        <f>N271</f>
        <v>957.27451998801871</v>
      </c>
      <c r="R271" s="18"/>
      <c r="U271" s="53"/>
      <c r="V271" s="18"/>
    </row>
    <row r="272" spans="1:22" ht="24.95" customHeight="1" x14ac:dyDescent="0.2">
      <c r="B272" s="83" t="s">
        <v>165</v>
      </c>
      <c r="C272" s="74">
        <v>2</v>
      </c>
      <c r="D272" s="506" t="str">
        <f>IFERROR(VLOOKUP(B272,Fontes!$A$9:$AC$6124,2,FALSE),0)</f>
        <v>Tapa vista em painéis de laminado estrutural TS com acabamento dupla face na cor branca, com prateleira superior, referência Neocom ou equivalente</v>
      </c>
      <c r="E272" s="507">
        <f>IFERROR(VLOOKUP(D272,Planilha!$B$10:$AC$943,4,FALSE),0)</f>
        <v>0</v>
      </c>
      <c r="F272" s="508">
        <f>IFERROR(VLOOKUP(E272,Planilha!$B$10:$AC$943,4,FALSE),0)</f>
        <v>0</v>
      </c>
      <c r="G272" s="75" t="str">
        <f>IFERROR(VLOOKUP(B272,Fontes!$A$9:$AC$6124,3,FALSE),0)</f>
        <v>un</v>
      </c>
      <c r="H272" s="76">
        <v>1</v>
      </c>
      <c r="I272" s="77">
        <f>(1620+63.5)/3</f>
        <v>561.16666666666663</v>
      </c>
      <c r="J272" s="77">
        <f>(1425+101.1)/3</f>
        <v>508.7</v>
      </c>
      <c r="K272" s="77">
        <v>785.0737224516032</v>
      </c>
      <c r="L272" s="77"/>
      <c r="M272" s="77"/>
      <c r="N272" s="78">
        <f t="shared" ref="N272:N278" si="14">IFERROR(+AVERAGE(I272,J272,K272,L272,M272),0)</f>
        <v>618.31346303942325</v>
      </c>
      <c r="O272" s="58"/>
      <c r="P272" s="18"/>
      <c r="Q272" s="18">
        <f>N272</f>
        <v>618.31346303942325</v>
      </c>
      <c r="R272" s="18"/>
      <c r="U272" s="53"/>
      <c r="V272" s="18"/>
    </row>
    <row r="273" spans="1:22" ht="24.95" customHeight="1" x14ac:dyDescent="0.2">
      <c r="C273" s="74"/>
      <c r="D273" s="506"/>
      <c r="E273" s="507"/>
      <c r="F273" s="508"/>
      <c r="G273" s="75"/>
      <c r="H273" s="76"/>
      <c r="I273" s="77"/>
      <c r="J273" s="77"/>
      <c r="K273" s="77"/>
      <c r="L273" s="77"/>
      <c r="M273" s="77"/>
      <c r="N273" s="78">
        <f t="shared" si="14"/>
        <v>0</v>
      </c>
      <c r="O273" s="58"/>
      <c r="P273" s="18"/>
      <c r="Q273" s="18">
        <f>N273</f>
        <v>0</v>
      </c>
      <c r="R273" s="18"/>
      <c r="U273" s="53"/>
      <c r="V273" s="18"/>
    </row>
    <row r="274" spans="1:22" x14ac:dyDescent="0.2">
      <c r="C274" s="74"/>
      <c r="D274" s="506"/>
      <c r="E274" s="507"/>
      <c r="F274" s="508"/>
      <c r="G274" s="75"/>
      <c r="H274" s="76"/>
      <c r="I274" s="77"/>
      <c r="J274" s="77"/>
      <c r="K274" s="77"/>
      <c r="L274" s="77"/>
      <c r="M274" s="77"/>
      <c r="N274" s="78">
        <f t="shared" si="14"/>
        <v>0</v>
      </c>
      <c r="O274" s="58"/>
      <c r="P274" s="18"/>
      <c r="Q274" s="18"/>
      <c r="R274" s="18"/>
    </row>
    <row r="275" spans="1:22" ht="27" customHeight="1" x14ac:dyDescent="0.2">
      <c r="C275" s="74"/>
      <c r="D275" s="506"/>
      <c r="E275" s="507"/>
      <c r="F275" s="508"/>
      <c r="G275" s="75"/>
      <c r="H275" s="76"/>
      <c r="I275" s="77"/>
      <c r="J275" s="77"/>
      <c r="K275" s="77"/>
      <c r="L275" s="77"/>
      <c r="M275" s="77"/>
      <c r="N275" s="78">
        <f t="shared" si="14"/>
        <v>0</v>
      </c>
      <c r="O275" s="58"/>
      <c r="P275" s="18"/>
      <c r="Q275" s="18"/>
      <c r="R275" s="18"/>
    </row>
    <row r="276" spans="1:22" x14ac:dyDescent="0.2">
      <c r="C276" s="74"/>
      <c r="D276" s="506"/>
      <c r="E276" s="507"/>
      <c r="F276" s="508"/>
      <c r="G276" s="75"/>
      <c r="H276" s="75"/>
      <c r="I276" s="77"/>
      <c r="J276" s="77"/>
      <c r="K276" s="77"/>
      <c r="L276" s="77"/>
      <c r="M276" s="77"/>
      <c r="N276" s="78">
        <f t="shared" si="14"/>
        <v>0</v>
      </c>
      <c r="O276" s="58"/>
      <c r="P276" s="18"/>
      <c r="Q276" s="18"/>
      <c r="R276" s="18">
        <f t="shared" ref="R276:R278" si="15">N276</f>
        <v>0</v>
      </c>
    </row>
    <row r="277" spans="1:22" x14ac:dyDescent="0.2">
      <c r="C277" s="74"/>
      <c r="D277" s="506"/>
      <c r="E277" s="507"/>
      <c r="F277" s="508"/>
      <c r="G277" s="75"/>
      <c r="H277" s="75"/>
      <c r="I277" s="77"/>
      <c r="J277" s="77"/>
      <c r="K277" s="77"/>
      <c r="L277" s="77"/>
      <c r="M277" s="77"/>
      <c r="N277" s="78">
        <f t="shared" si="14"/>
        <v>0</v>
      </c>
      <c r="O277" s="58"/>
      <c r="P277" s="18"/>
      <c r="Q277" s="18"/>
      <c r="R277" s="18">
        <f t="shared" si="15"/>
        <v>0</v>
      </c>
    </row>
    <row r="278" spans="1:22" x14ac:dyDescent="0.2">
      <c r="C278" s="74"/>
      <c r="D278" s="506"/>
      <c r="E278" s="507"/>
      <c r="F278" s="508"/>
      <c r="G278" s="75"/>
      <c r="H278" s="75"/>
      <c r="I278" s="77"/>
      <c r="J278" s="77"/>
      <c r="K278" s="77"/>
      <c r="L278" s="77"/>
      <c r="M278" s="77"/>
      <c r="N278" s="78">
        <f t="shared" si="14"/>
        <v>0</v>
      </c>
      <c r="O278" s="58"/>
      <c r="P278" s="18"/>
      <c r="Q278" s="18"/>
      <c r="R278" s="18">
        <f t="shared" si="15"/>
        <v>0</v>
      </c>
    </row>
    <row r="279" spans="1:22" ht="15.75" thickBot="1" x14ac:dyDescent="0.25">
      <c r="C279" s="79"/>
      <c r="D279" s="493"/>
      <c r="E279" s="494"/>
      <c r="F279" s="495"/>
      <c r="G279" s="80"/>
      <c r="H279" s="80"/>
      <c r="I279" s="81"/>
      <c r="J279" s="81"/>
      <c r="K279" s="81"/>
      <c r="L279" s="81"/>
      <c r="M279" s="81"/>
      <c r="N279" s="82"/>
      <c r="O279" s="58"/>
    </row>
    <row r="280" spans="1:22" x14ac:dyDescent="0.2">
      <c r="O280" s="58"/>
    </row>
    <row r="281" spans="1:22" ht="15.75" thickBot="1" x14ac:dyDescent="0.25">
      <c r="O281" s="58"/>
    </row>
    <row r="282" spans="1:22" s="49" customFormat="1" ht="15.75" thickBot="1" x14ac:dyDescent="0.25">
      <c r="A282" s="87"/>
      <c r="B282" s="87"/>
      <c r="C282" s="46" t="s">
        <v>42</v>
      </c>
      <c r="D282" s="47"/>
      <c r="E282" s="47"/>
      <c r="F282" s="47"/>
      <c r="G282" s="47"/>
      <c r="H282" s="48"/>
      <c r="I282" s="48"/>
      <c r="J282" s="48"/>
      <c r="K282" s="48"/>
      <c r="L282" s="48"/>
      <c r="M282" s="48"/>
      <c r="N282" s="48"/>
      <c r="O282" s="58"/>
      <c r="S282" s="50"/>
    </row>
    <row r="283" spans="1:22" s="49" customFormat="1" ht="12.75" x14ac:dyDescent="0.2">
      <c r="A283" s="87"/>
      <c r="B283" s="87"/>
      <c r="C283" s="551"/>
      <c r="D283" s="551"/>
      <c r="E283" s="551"/>
      <c r="F283" s="551"/>
      <c r="G283" s="551"/>
      <c r="H283" s="551"/>
      <c r="I283" s="551"/>
      <c r="J283" s="551"/>
      <c r="K283" s="551"/>
      <c r="L283" s="551"/>
      <c r="M283" s="551"/>
      <c r="N283" s="551"/>
      <c r="O283" s="59"/>
      <c r="S283" s="50"/>
    </row>
    <row r="284" spans="1:22" s="49" customFormat="1" ht="12.75" x14ac:dyDescent="0.2">
      <c r="A284" s="87"/>
      <c r="B284" s="87"/>
      <c r="C284" s="497"/>
      <c r="D284" s="497"/>
      <c r="E284" s="497"/>
      <c r="F284" s="497"/>
      <c r="G284" s="497"/>
      <c r="H284" s="497"/>
      <c r="I284" s="497"/>
      <c r="J284" s="497"/>
      <c r="K284" s="497"/>
      <c r="L284" s="497"/>
      <c r="M284" s="497"/>
      <c r="N284" s="497"/>
      <c r="O284" s="59"/>
      <c r="S284" s="50"/>
    </row>
    <row r="285" spans="1:22" s="49" customFormat="1" ht="12.75" x14ac:dyDescent="0.2">
      <c r="A285" s="87"/>
      <c r="B285" s="87"/>
      <c r="C285" s="497"/>
      <c r="D285" s="497"/>
      <c r="E285" s="497"/>
      <c r="F285" s="497"/>
      <c r="G285" s="497"/>
      <c r="H285" s="497"/>
      <c r="I285" s="497"/>
      <c r="J285" s="497"/>
      <c r="K285" s="497"/>
      <c r="L285" s="497"/>
      <c r="M285" s="497"/>
      <c r="N285" s="497"/>
      <c r="O285" s="59"/>
      <c r="S285" s="50"/>
    </row>
    <row r="286" spans="1:22" s="49" customFormat="1" ht="12.75" x14ac:dyDescent="0.2">
      <c r="A286" s="87"/>
      <c r="B286" s="87"/>
      <c r="C286" s="497"/>
      <c r="D286" s="497"/>
      <c r="E286" s="497"/>
      <c r="F286" s="497"/>
      <c r="G286" s="497"/>
      <c r="H286" s="497"/>
      <c r="I286" s="497"/>
      <c r="J286" s="497"/>
      <c r="K286" s="497"/>
      <c r="L286" s="497"/>
      <c r="M286" s="497"/>
      <c r="N286" s="497"/>
      <c r="O286" s="59"/>
      <c r="S286" s="50"/>
    </row>
    <row r="287" spans="1:22" s="49" customFormat="1" ht="13.5" thickBot="1" x14ac:dyDescent="0.25">
      <c r="A287" s="87"/>
      <c r="B287" s="87"/>
      <c r="C287" s="498"/>
      <c r="D287" s="498"/>
      <c r="E287" s="498"/>
      <c r="F287" s="498"/>
      <c r="G287" s="498"/>
      <c r="H287" s="498"/>
      <c r="I287" s="498"/>
      <c r="J287" s="498"/>
      <c r="K287" s="498"/>
      <c r="L287" s="498"/>
      <c r="M287" s="498"/>
      <c r="N287" s="498"/>
      <c r="O287" s="59"/>
      <c r="S287" s="50"/>
    </row>
    <row r="288" spans="1:22" s="10" customFormat="1" ht="12" thickBot="1" x14ac:dyDescent="0.25">
      <c r="C288" s="6"/>
      <c r="D288" s="6"/>
      <c r="E288" s="6"/>
      <c r="F288" s="7"/>
      <c r="G288" s="8"/>
      <c r="H288" s="8"/>
      <c r="I288" s="9"/>
      <c r="N288" s="4"/>
      <c r="O288" s="55"/>
      <c r="S288" s="11"/>
    </row>
    <row r="289" spans="1:23" s="34" customFormat="1" ht="16.5" thickBot="1" x14ac:dyDescent="0.25">
      <c r="A289" s="84"/>
      <c r="B289" s="84"/>
      <c r="C289" s="30">
        <v>9</v>
      </c>
      <c r="D289" s="31" t="s">
        <v>1315</v>
      </c>
      <c r="E289" s="32"/>
      <c r="F289" s="32"/>
      <c r="G289" s="32"/>
      <c r="H289" s="32"/>
      <c r="I289" s="32"/>
      <c r="J289" s="32"/>
      <c r="K289" s="32"/>
      <c r="L289" s="32"/>
      <c r="M289" s="32"/>
      <c r="N289" s="33"/>
      <c r="O289" s="56"/>
      <c r="S289" s="35"/>
    </row>
    <row r="290" spans="1:23" s="40" customFormat="1" ht="16.5" customHeight="1" thickBot="1" x14ac:dyDescent="0.25">
      <c r="A290" s="85"/>
      <c r="B290" s="85"/>
      <c r="C290" s="36" t="s">
        <v>652</v>
      </c>
      <c r="D290" s="37" t="s">
        <v>1326</v>
      </c>
      <c r="E290" s="38"/>
      <c r="F290" s="38"/>
      <c r="G290" s="38"/>
      <c r="H290" s="38"/>
      <c r="I290" s="38"/>
      <c r="J290" s="38"/>
      <c r="K290" s="38"/>
      <c r="L290" s="38"/>
      <c r="M290" s="38"/>
      <c r="N290" s="39"/>
      <c r="O290" s="57"/>
      <c r="S290" s="41"/>
    </row>
    <row r="291" spans="1:23" s="10" customFormat="1" ht="11.25" x14ac:dyDescent="0.2">
      <c r="C291" s="6"/>
      <c r="D291" s="6"/>
      <c r="E291" s="6"/>
      <c r="F291" s="7"/>
      <c r="G291" s="8"/>
      <c r="H291" s="8"/>
      <c r="I291" s="9"/>
      <c r="M291" s="4"/>
      <c r="N291" s="5"/>
      <c r="O291" s="55"/>
      <c r="S291" s="11"/>
    </row>
    <row r="292" spans="1:23" ht="18" thickBot="1" x14ac:dyDescent="0.25">
      <c r="C292" s="66" t="s">
        <v>34</v>
      </c>
      <c r="D292" s="537" t="s">
        <v>1322</v>
      </c>
      <c r="E292" s="538"/>
      <c r="F292" s="539"/>
      <c r="G292" s="540" t="s">
        <v>35</v>
      </c>
      <c r="H292" s="541"/>
      <c r="I292" s="42" t="s">
        <v>1323</v>
      </c>
      <c r="J292" s="66" t="s">
        <v>36</v>
      </c>
      <c r="K292" s="542" t="s">
        <v>1324</v>
      </c>
      <c r="L292" s="543"/>
      <c r="M292" s="66" t="s">
        <v>37</v>
      </c>
      <c r="N292" s="43">
        <v>44700</v>
      </c>
      <c r="O292" s="58"/>
    </row>
    <row r="293" spans="1:23" ht="18.75" thickTop="1" thickBot="1" x14ac:dyDescent="0.25">
      <c r="C293" s="66" t="s">
        <v>34</v>
      </c>
      <c r="D293" s="537" t="s">
        <v>1327</v>
      </c>
      <c r="E293" s="538"/>
      <c r="F293" s="539"/>
      <c r="G293" s="540" t="s">
        <v>35</v>
      </c>
      <c r="H293" s="541"/>
      <c r="I293" s="42" t="s">
        <v>1328</v>
      </c>
      <c r="J293" s="66" t="s">
        <v>36</v>
      </c>
      <c r="K293" s="542" t="s">
        <v>1329</v>
      </c>
      <c r="L293" s="543"/>
      <c r="M293" s="66" t="s">
        <v>37</v>
      </c>
      <c r="N293" s="43">
        <v>44706</v>
      </c>
      <c r="O293" s="58"/>
    </row>
    <row r="294" spans="1:23" ht="18.75" thickTop="1" thickBot="1" x14ac:dyDescent="0.25">
      <c r="C294" s="66" t="s">
        <v>34</v>
      </c>
      <c r="D294" s="530" t="s">
        <v>1330</v>
      </c>
      <c r="E294" s="531"/>
      <c r="F294" s="532"/>
      <c r="G294" s="533" t="s">
        <v>35</v>
      </c>
      <c r="H294" s="534"/>
      <c r="I294" s="44" t="s">
        <v>1331</v>
      </c>
      <c r="J294" s="66" t="s">
        <v>36</v>
      </c>
      <c r="K294" s="535" t="s">
        <v>1332</v>
      </c>
      <c r="L294" s="536"/>
      <c r="M294" s="66" t="s">
        <v>37</v>
      </c>
      <c r="N294" s="45">
        <v>44701</v>
      </c>
      <c r="O294" s="58"/>
    </row>
    <row r="295" spans="1:23" ht="18.75" thickTop="1" thickBot="1" x14ac:dyDescent="0.25">
      <c r="C295" s="66" t="s">
        <v>34</v>
      </c>
      <c r="D295" s="530"/>
      <c r="E295" s="531"/>
      <c r="F295" s="532"/>
      <c r="G295" s="533" t="s">
        <v>35</v>
      </c>
      <c r="H295" s="534"/>
      <c r="I295" s="44"/>
      <c r="J295" s="66" t="s">
        <v>36</v>
      </c>
      <c r="K295" s="535"/>
      <c r="L295" s="536"/>
      <c r="M295" s="66" t="s">
        <v>37</v>
      </c>
      <c r="N295" s="45"/>
      <c r="O295" s="58"/>
    </row>
    <row r="296" spans="1:23" ht="18.75" thickTop="1" thickBot="1" x14ac:dyDescent="0.25">
      <c r="C296" s="66" t="s">
        <v>34</v>
      </c>
      <c r="D296" s="530"/>
      <c r="E296" s="531"/>
      <c r="F296" s="532"/>
      <c r="G296" s="533" t="s">
        <v>35</v>
      </c>
      <c r="H296" s="534"/>
      <c r="I296" s="44"/>
      <c r="J296" s="66" t="s">
        <v>36</v>
      </c>
      <c r="K296" s="535"/>
      <c r="L296" s="536"/>
      <c r="M296" s="66" t="s">
        <v>37</v>
      </c>
      <c r="N296" s="45"/>
      <c r="O296" s="58"/>
    </row>
    <row r="297" spans="1:23" ht="16.5" thickTop="1" thickBot="1" x14ac:dyDescent="0.25">
      <c r="O297" s="58"/>
    </row>
    <row r="298" spans="1:23" ht="15" customHeight="1" x14ac:dyDescent="0.2">
      <c r="C298" s="509" t="s">
        <v>19</v>
      </c>
      <c r="D298" s="499" t="s">
        <v>7</v>
      </c>
      <c r="E298" s="512"/>
      <c r="F298" s="500"/>
      <c r="G298" s="519" t="s">
        <v>30</v>
      </c>
      <c r="H298" s="522" t="s">
        <v>38</v>
      </c>
      <c r="I298" s="258" t="s">
        <v>39</v>
      </c>
      <c r="J298" s="258" t="s">
        <v>39</v>
      </c>
      <c r="K298" s="258" t="s">
        <v>39</v>
      </c>
      <c r="L298" s="258" t="s">
        <v>39</v>
      </c>
      <c r="M298" s="258" t="s">
        <v>39</v>
      </c>
      <c r="N298" s="525" t="s">
        <v>40</v>
      </c>
      <c r="O298" s="58"/>
    </row>
    <row r="299" spans="1:23" x14ac:dyDescent="0.2">
      <c r="C299" s="510"/>
      <c r="D299" s="513"/>
      <c r="E299" s="514"/>
      <c r="F299" s="515"/>
      <c r="G299" s="520"/>
      <c r="H299" s="523"/>
      <c r="I299" s="12" t="str">
        <f>D292</f>
        <v>TS</v>
      </c>
      <c r="J299" s="12" t="str">
        <f>D293</f>
        <v>MOVA</v>
      </c>
      <c r="K299" s="12" t="str">
        <f>D294</f>
        <v>DM</v>
      </c>
      <c r="L299" s="12">
        <f>D295</f>
        <v>0</v>
      </c>
      <c r="M299" s="12">
        <f>D296</f>
        <v>0</v>
      </c>
      <c r="N299" s="526"/>
      <c r="O299" s="58"/>
    </row>
    <row r="300" spans="1:23" ht="15" customHeight="1" x14ac:dyDescent="0.2">
      <c r="C300" s="510"/>
      <c r="D300" s="513"/>
      <c r="E300" s="514"/>
      <c r="F300" s="515"/>
      <c r="G300" s="520"/>
      <c r="H300" s="523"/>
      <c r="I300" s="528" t="s">
        <v>41</v>
      </c>
      <c r="J300" s="528" t="s">
        <v>41</v>
      </c>
      <c r="K300" s="528" t="s">
        <v>41</v>
      </c>
      <c r="L300" s="528" t="s">
        <v>41</v>
      </c>
      <c r="M300" s="528" t="s">
        <v>41</v>
      </c>
      <c r="N300" s="526"/>
      <c r="O300" s="58"/>
    </row>
    <row r="301" spans="1:23" ht="15.75" thickBot="1" x14ac:dyDescent="0.25">
      <c r="C301" s="511"/>
      <c r="D301" s="516"/>
      <c r="E301" s="517"/>
      <c r="F301" s="518"/>
      <c r="G301" s="521"/>
      <c r="H301" s="524"/>
      <c r="I301" s="529"/>
      <c r="J301" s="529"/>
      <c r="K301" s="529"/>
      <c r="L301" s="529"/>
      <c r="M301" s="529"/>
      <c r="N301" s="527"/>
      <c r="O301" s="58"/>
    </row>
    <row r="302" spans="1:23" ht="15.75" thickBot="1" x14ac:dyDescent="0.25">
      <c r="O302" s="58"/>
      <c r="P302" s="200" t="s">
        <v>79</v>
      </c>
      <c r="Q302" s="200" t="s">
        <v>89</v>
      </c>
      <c r="R302" s="200" t="s">
        <v>90</v>
      </c>
    </row>
    <row r="303" spans="1:23" s="67" customFormat="1" x14ac:dyDescent="0.2">
      <c r="A303" s="86"/>
      <c r="B303" s="86"/>
      <c r="C303" s="68"/>
      <c r="D303" s="503"/>
      <c r="E303" s="504"/>
      <c r="F303" s="505"/>
      <c r="G303" s="69"/>
      <c r="H303" s="69"/>
      <c r="I303" s="70"/>
      <c r="J303" s="70"/>
      <c r="K303" s="70"/>
      <c r="L303" s="70"/>
      <c r="M303" s="70"/>
      <c r="N303" s="71"/>
      <c r="O303" s="72"/>
      <c r="P303" s="53"/>
      <c r="Q303" s="17"/>
      <c r="R303" s="17"/>
      <c r="S303" s="73"/>
    </row>
    <row r="304" spans="1:23" ht="29.25" customHeight="1" x14ac:dyDescent="0.2">
      <c r="B304" s="83" t="s">
        <v>166</v>
      </c>
      <c r="C304" s="74">
        <v>1</v>
      </c>
      <c r="D304" s="506" t="str">
        <f>IFERROR(VLOOKUP(B304,Fontes!$A$9:$AC$6124,2,FALSE),0)</f>
        <v>DIV-01 - Divisória em painel de vidro piso/teto com estrutura em alumínio anodizado fosco e vidro único laminado 10 mm, referência linha ABS 75 mm Light JS da Divdesign ou equivalente</v>
      </c>
      <c r="E304" s="507">
        <f>IFERROR(VLOOKUP(D304,Planilha!$B$10:$AC$943,4,FALSE),0)</f>
        <v>0</v>
      </c>
      <c r="F304" s="508">
        <f>IFERROR(VLOOKUP(E304,Planilha!$B$10:$AC$943,4,FALSE),0)</f>
        <v>0</v>
      </c>
      <c r="G304" s="75" t="str">
        <f>IFERROR(VLOOKUP(B304,Fontes!$A$9:$AC$6124,3,FALSE),0)</f>
        <v>m2</v>
      </c>
      <c r="H304" s="76">
        <v>1</v>
      </c>
      <c r="I304" s="77">
        <f>(33756.77+6138.95)/40.08</f>
        <v>995.40219560878234</v>
      </c>
      <c r="J304" s="77">
        <v>980</v>
      </c>
      <c r="K304" s="77">
        <v>842</v>
      </c>
      <c r="L304" s="77"/>
      <c r="M304" s="77"/>
      <c r="N304" s="78">
        <f>IFERROR(+AVERAGE(I304,J304,K304,L304,M304),0)</f>
        <v>939.13406520292745</v>
      </c>
      <c r="O304" s="58"/>
      <c r="P304" s="18"/>
      <c r="Q304" s="18">
        <f>N304</f>
        <v>939.13406520292745</v>
      </c>
      <c r="R304" s="18"/>
      <c r="U304" s="53">
        <v>33756.269999999997</v>
      </c>
      <c r="V304" s="18">
        <f>U304/$U$306</f>
        <v>0.62712721518246561</v>
      </c>
      <c r="W304" s="17">
        <f>9789*V304</f>
        <v>6138.9483094211555</v>
      </c>
    </row>
    <row r="305" spans="1:23" ht="24.95" customHeight="1" x14ac:dyDescent="0.2">
      <c r="B305" s="83" t="s">
        <v>167</v>
      </c>
      <c r="C305" s="74">
        <v>2</v>
      </c>
      <c r="D305" s="506" t="str">
        <f>IFERROR(VLOOKUP(B305,Fontes!$A$9:$AC$6124,2,FALSE),0)</f>
        <v>P-14 - Porta para divisória de vidro largura 0,82 m em vidro único laminado 10 mm, completa, folha única bandeira cadeirinha cega referência para linha ABS 75 mm Light JS da Divdesign ou equivalente</v>
      </c>
      <c r="E305" s="507">
        <f>IFERROR(VLOOKUP(D305,Planilha!$B$10:$AC$943,4,FALSE),0)</f>
        <v>0</v>
      </c>
      <c r="F305" s="508">
        <f>IFERROR(VLOOKUP(E305,Planilha!$B$10:$AC$943,4,FALSE),0)</f>
        <v>0</v>
      </c>
      <c r="G305" s="75" t="str">
        <f>IFERROR(VLOOKUP(B305,Fontes!$A$9:$AC$6124,3,FALSE),0)</f>
        <v>un</v>
      </c>
      <c r="H305" s="76">
        <v>1</v>
      </c>
      <c r="I305" s="77">
        <f>(20070.56+3650.05)/5</f>
        <v>4744.1220000000003</v>
      </c>
      <c r="J305" s="77">
        <v>2750</v>
      </c>
      <c r="K305" s="77">
        <v>3098</v>
      </c>
      <c r="L305" s="77"/>
      <c r="M305" s="77"/>
      <c r="N305" s="78">
        <f t="shared" ref="N305:N311" si="16">IFERROR(+AVERAGE(I305,J305,K305,L305,M305),0)</f>
        <v>3530.7073333333333</v>
      </c>
      <c r="O305" s="58"/>
      <c r="P305" s="18"/>
      <c r="Q305" s="18">
        <f>N305</f>
        <v>3530.7073333333333</v>
      </c>
      <c r="R305" s="18"/>
      <c r="U305" s="53">
        <v>20070.560000000001</v>
      </c>
      <c r="V305" s="18">
        <f>U305/$U$306</f>
        <v>0.37287278481753433</v>
      </c>
      <c r="W305" s="17">
        <f>9789*V305</f>
        <v>3650.0516905788436</v>
      </c>
    </row>
    <row r="306" spans="1:23" ht="24.95" customHeight="1" x14ac:dyDescent="0.2">
      <c r="C306" s="74"/>
      <c r="D306" s="506"/>
      <c r="E306" s="507"/>
      <c r="F306" s="508"/>
      <c r="G306" s="75"/>
      <c r="H306" s="76"/>
      <c r="I306" s="77"/>
      <c r="J306" s="77"/>
      <c r="K306" s="77"/>
      <c r="L306" s="77"/>
      <c r="M306" s="77"/>
      <c r="N306" s="78">
        <f t="shared" si="16"/>
        <v>0</v>
      </c>
      <c r="O306" s="58"/>
      <c r="P306" s="18"/>
      <c r="Q306" s="18">
        <f>N306</f>
        <v>0</v>
      </c>
      <c r="R306" s="18"/>
      <c r="U306" s="53">
        <f>SUM(U304:U305)</f>
        <v>53826.83</v>
      </c>
      <c r="V306" s="18"/>
    </row>
    <row r="307" spans="1:23" x14ac:dyDescent="0.2">
      <c r="C307" s="74"/>
      <c r="D307" s="506"/>
      <c r="E307" s="507"/>
      <c r="F307" s="508"/>
      <c r="G307" s="75"/>
      <c r="H307" s="76"/>
      <c r="I307" s="77"/>
      <c r="J307" s="77"/>
      <c r="K307" s="77"/>
      <c r="L307" s="77"/>
      <c r="M307" s="77"/>
      <c r="N307" s="78">
        <f t="shared" si="16"/>
        <v>0</v>
      </c>
      <c r="O307" s="58"/>
      <c r="P307" s="18"/>
      <c r="Q307" s="18"/>
      <c r="R307" s="18"/>
    </row>
    <row r="308" spans="1:23" ht="27" customHeight="1" x14ac:dyDescent="0.2">
      <c r="C308" s="74"/>
      <c r="D308" s="506"/>
      <c r="E308" s="507"/>
      <c r="F308" s="508"/>
      <c r="G308" s="75"/>
      <c r="H308" s="76"/>
      <c r="I308" s="77"/>
      <c r="J308" s="77"/>
      <c r="K308" s="77"/>
      <c r="L308" s="77"/>
      <c r="M308" s="77"/>
      <c r="N308" s="78">
        <f t="shared" si="16"/>
        <v>0</v>
      </c>
      <c r="O308" s="58"/>
      <c r="P308" s="18"/>
      <c r="Q308" s="18"/>
      <c r="R308" s="18"/>
    </row>
    <row r="309" spans="1:23" x14ac:dyDescent="0.2">
      <c r="C309" s="74"/>
      <c r="D309" s="506"/>
      <c r="E309" s="507"/>
      <c r="F309" s="508"/>
      <c r="G309" s="75"/>
      <c r="H309" s="75"/>
      <c r="I309" s="77"/>
      <c r="J309" s="77"/>
      <c r="K309" s="77"/>
      <c r="L309" s="77"/>
      <c r="M309" s="77"/>
      <c r="N309" s="78">
        <f t="shared" si="16"/>
        <v>0</v>
      </c>
      <c r="O309" s="58"/>
      <c r="P309" s="18"/>
      <c r="Q309" s="18"/>
      <c r="R309" s="18">
        <f t="shared" ref="R309:R311" si="17">N309</f>
        <v>0</v>
      </c>
    </row>
    <row r="310" spans="1:23" x14ac:dyDescent="0.2">
      <c r="C310" s="74"/>
      <c r="D310" s="506"/>
      <c r="E310" s="507"/>
      <c r="F310" s="508"/>
      <c r="G310" s="75"/>
      <c r="H310" s="75"/>
      <c r="I310" s="77"/>
      <c r="J310" s="77"/>
      <c r="K310" s="77"/>
      <c r="L310" s="77"/>
      <c r="M310" s="77"/>
      <c r="N310" s="78">
        <f t="shared" si="16"/>
        <v>0</v>
      </c>
      <c r="O310" s="58"/>
      <c r="P310" s="18"/>
      <c r="Q310" s="18"/>
      <c r="R310" s="18">
        <f t="shared" si="17"/>
        <v>0</v>
      </c>
    </row>
    <row r="311" spans="1:23" x14ac:dyDescent="0.2">
      <c r="C311" s="74"/>
      <c r="D311" s="506"/>
      <c r="E311" s="507"/>
      <c r="F311" s="508"/>
      <c r="G311" s="75"/>
      <c r="H311" s="75"/>
      <c r="I311" s="77"/>
      <c r="J311" s="77"/>
      <c r="K311" s="77"/>
      <c r="L311" s="77"/>
      <c r="M311" s="77"/>
      <c r="N311" s="78">
        <f t="shared" si="16"/>
        <v>0</v>
      </c>
      <c r="O311" s="58"/>
      <c r="P311" s="18"/>
      <c r="Q311" s="18"/>
      <c r="R311" s="18">
        <f t="shared" si="17"/>
        <v>0</v>
      </c>
    </row>
    <row r="312" spans="1:23" ht="15.75" thickBot="1" x14ac:dyDescent="0.25">
      <c r="C312" s="79"/>
      <c r="D312" s="493"/>
      <c r="E312" s="494"/>
      <c r="F312" s="495"/>
      <c r="G312" s="80"/>
      <c r="H312" s="80"/>
      <c r="I312" s="81"/>
      <c r="J312" s="81"/>
      <c r="K312" s="81"/>
      <c r="L312" s="81"/>
      <c r="M312" s="81"/>
      <c r="N312" s="82"/>
      <c r="O312" s="58"/>
    </row>
    <row r="313" spans="1:23" x14ac:dyDescent="0.2">
      <c r="O313" s="58"/>
    </row>
    <row r="314" spans="1:23" ht="15.75" thickBot="1" x14ac:dyDescent="0.25">
      <c r="O314" s="58"/>
    </row>
    <row r="315" spans="1:23" s="49" customFormat="1" ht="15.75" thickBot="1" x14ac:dyDescent="0.25">
      <c r="A315" s="87"/>
      <c r="B315" s="87"/>
      <c r="C315" s="46" t="s">
        <v>42</v>
      </c>
      <c r="D315" s="47"/>
      <c r="E315" s="47"/>
      <c r="F315" s="47"/>
      <c r="G315" s="47"/>
      <c r="H315" s="48"/>
      <c r="I315" s="48"/>
      <c r="J315" s="48"/>
      <c r="K315" s="48"/>
      <c r="L315" s="48"/>
      <c r="M315" s="48"/>
      <c r="N315" s="48"/>
      <c r="O315" s="58"/>
      <c r="S315" s="50"/>
    </row>
    <row r="316" spans="1:23" s="49" customFormat="1" ht="12.75" x14ac:dyDescent="0.2">
      <c r="A316" s="87"/>
      <c r="B316" s="87"/>
      <c r="C316" s="551"/>
      <c r="D316" s="551"/>
      <c r="E316" s="551"/>
      <c r="F316" s="551"/>
      <c r="G316" s="551"/>
      <c r="H316" s="551"/>
      <c r="I316" s="551"/>
      <c r="J316" s="551"/>
      <c r="K316" s="551"/>
      <c r="L316" s="551"/>
      <c r="M316" s="551"/>
      <c r="N316" s="551"/>
      <c r="O316" s="59"/>
      <c r="S316" s="50"/>
    </row>
    <row r="317" spans="1:23" s="49" customFormat="1" ht="12.75" x14ac:dyDescent="0.2">
      <c r="A317" s="87"/>
      <c r="B317" s="87"/>
      <c r="C317" s="497"/>
      <c r="D317" s="497"/>
      <c r="E317" s="497"/>
      <c r="F317" s="497"/>
      <c r="G317" s="497"/>
      <c r="H317" s="497"/>
      <c r="I317" s="497"/>
      <c r="J317" s="497"/>
      <c r="K317" s="497"/>
      <c r="L317" s="497"/>
      <c r="M317" s="497"/>
      <c r="N317" s="497"/>
      <c r="O317" s="59"/>
      <c r="S317" s="50"/>
    </row>
    <row r="318" spans="1:23" s="49" customFormat="1" ht="12.75" x14ac:dyDescent="0.2">
      <c r="A318" s="87"/>
      <c r="B318" s="87"/>
      <c r="C318" s="497"/>
      <c r="D318" s="497"/>
      <c r="E318" s="497"/>
      <c r="F318" s="497"/>
      <c r="G318" s="497"/>
      <c r="H318" s="497"/>
      <c r="I318" s="497"/>
      <c r="J318" s="497"/>
      <c r="K318" s="497"/>
      <c r="L318" s="497"/>
      <c r="M318" s="497"/>
      <c r="N318" s="497"/>
      <c r="O318" s="59"/>
      <c r="S318" s="50"/>
    </row>
    <row r="319" spans="1:23" s="49" customFormat="1" ht="12.75" x14ac:dyDescent="0.2">
      <c r="A319" s="87"/>
      <c r="B319" s="87"/>
      <c r="C319" s="497"/>
      <c r="D319" s="497"/>
      <c r="E319" s="497"/>
      <c r="F319" s="497"/>
      <c r="G319" s="497"/>
      <c r="H319" s="497"/>
      <c r="I319" s="497"/>
      <c r="J319" s="497"/>
      <c r="K319" s="497"/>
      <c r="L319" s="497"/>
      <c r="M319" s="497"/>
      <c r="N319" s="497"/>
      <c r="O319" s="59"/>
      <c r="S319" s="50"/>
    </row>
    <row r="320" spans="1:23" s="49" customFormat="1" ht="13.5" thickBot="1" x14ac:dyDescent="0.25">
      <c r="A320" s="87"/>
      <c r="B320" s="87"/>
      <c r="C320" s="498"/>
      <c r="D320" s="498"/>
      <c r="E320" s="498"/>
      <c r="F320" s="498"/>
      <c r="G320" s="498"/>
      <c r="H320" s="498"/>
      <c r="I320" s="498"/>
      <c r="J320" s="498"/>
      <c r="K320" s="498"/>
      <c r="L320" s="498"/>
      <c r="M320" s="498"/>
      <c r="N320" s="498"/>
      <c r="O320" s="59"/>
      <c r="S320" s="50"/>
    </row>
    <row r="321" spans="1:19" s="10" customFormat="1" ht="12" thickBot="1" x14ac:dyDescent="0.25">
      <c r="C321" s="6"/>
      <c r="D321" s="6"/>
      <c r="E321" s="6"/>
      <c r="F321" s="7"/>
      <c r="G321" s="8"/>
      <c r="H321" s="8"/>
      <c r="I321" s="9"/>
      <c r="N321" s="4"/>
      <c r="O321" s="55"/>
      <c r="S321" s="11"/>
    </row>
    <row r="322" spans="1:19" s="34" customFormat="1" ht="16.5" thickBot="1" x14ac:dyDescent="0.25">
      <c r="A322" s="84"/>
      <c r="B322" s="84"/>
      <c r="C322" s="30">
        <v>10</v>
      </c>
      <c r="D322" s="31" t="s">
        <v>283</v>
      </c>
      <c r="E322" s="32"/>
      <c r="F322" s="32"/>
      <c r="G322" s="32"/>
      <c r="H322" s="32"/>
      <c r="I322" s="32"/>
      <c r="J322" s="32"/>
      <c r="K322" s="32"/>
      <c r="L322" s="32"/>
      <c r="M322" s="32"/>
      <c r="N322" s="33"/>
      <c r="O322" s="56"/>
      <c r="S322" s="35"/>
    </row>
    <row r="323" spans="1:19" s="40" customFormat="1" ht="16.5" customHeight="1" thickBot="1" x14ac:dyDescent="0.25">
      <c r="A323" s="85"/>
      <c r="B323" s="85"/>
      <c r="C323" s="36" t="s">
        <v>775</v>
      </c>
      <c r="D323" s="37" t="s">
        <v>1381</v>
      </c>
      <c r="E323" s="38"/>
      <c r="F323" s="38"/>
      <c r="G323" s="38"/>
      <c r="H323" s="38"/>
      <c r="I323" s="38"/>
      <c r="J323" s="38"/>
      <c r="K323" s="38"/>
      <c r="L323" s="38"/>
      <c r="M323" s="38"/>
      <c r="N323" s="39"/>
      <c r="O323" s="57"/>
      <c r="S323" s="41"/>
    </row>
    <row r="324" spans="1:19" s="10" customFormat="1" ht="11.25" x14ac:dyDescent="0.2">
      <c r="C324" s="6"/>
      <c r="D324" s="6"/>
      <c r="E324" s="6"/>
      <c r="F324" s="7"/>
      <c r="G324" s="8"/>
      <c r="H324" s="8"/>
      <c r="I324" s="9"/>
      <c r="M324" s="4"/>
      <c r="N324" s="5"/>
      <c r="O324" s="55"/>
      <c r="S324" s="11"/>
    </row>
    <row r="325" spans="1:19" ht="18" thickBot="1" x14ac:dyDescent="0.25">
      <c r="C325" s="66" t="s">
        <v>34</v>
      </c>
      <c r="D325" s="537" t="s">
        <v>1382</v>
      </c>
      <c r="E325" s="538"/>
      <c r="F325" s="539"/>
      <c r="G325" s="540" t="s">
        <v>35</v>
      </c>
      <c r="H325" s="541"/>
      <c r="I325" s="42" t="s">
        <v>1384</v>
      </c>
      <c r="J325" s="66" t="s">
        <v>36</v>
      </c>
      <c r="K325" s="542" t="s">
        <v>1383</v>
      </c>
      <c r="L325" s="543"/>
      <c r="M325" s="66" t="s">
        <v>37</v>
      </c>
      <c r="N325" s="43">
        <v>44689</v>
      </c>
      <c r="O325" s="58"/>
    </row>
    <row r="326" spans="1:19" ht="18.75" thickTop="1" thickBot="1" x14ac:dyDescent="0.25">
      <c r="C326" s="66" t="s">
        <v>34</v>
      </c>
      <c r="D326" s="537" t="s">
        <v>1385</v>
      </c>
      <c r="E326" s="538"/>
      <c r="F326" s="539"/>
      <c r="G326" s="540" t="s">
        <v>35</v>
      </c>
      <c r="H326" s="541"/>
      <c r="I326" s="42" t="s">
        <v>1387</v>
      </c>
      <c r="J326" s="66" t="s">
        <v>36</v>
      </c>
      <c r="K326" s="542" t="s">
        <v>1386</v>
      </c>
      <c r="L326" s="543"/>
      <c r="M326" s="66" t="s">
        <v>37</v>
      </c>
      <c r="N326" s="43">
        <v>44690</v>
      </c>
      <c r="O326" s="58"/>
    </row>
    <row r="327" spans="1:19" ht="18.75" thickTop="1" thickBot="1" x14ac:dyDescent="0.25">
      <c r="C327" s="66" t="s">
        <v>34</v>
      </c>
      <c r="D327" s="530" t="s">
        <v>1388</v>
      </c>
      <c r="E327" s="531"/>
      <c r="F327" s="532"/>
      <c r="G327" s="533" t="s">
        <v>35</v>
      </c>
      <c r="H327" s="534"/>
      <c r="I327" s="44" t="s">
        <v>1389</v>
      </c>
      <c r="J327" s="66" t="s">
        <v>36</v>
      </c>
      <c r="K327" s="535" t="s">
        <v>1390</v>
      </c>
      <c r="L327" s="536"/>
      <c r="M327" s="66" t="s">
        <v>37</v>
      </c>
      <c r="N327" s="45">
        <v>44708</v>
      </c>
      <c r="O327" s="58"/>
    </row>
    <row r="328" spans="1:19" ht="18.75" thickTop="1" thickBot="1" x14ac:dyDescent="0.25">
      <c r="C328" s="66" t="s">
        <v>34</v>
      </c>
      <c r="D328" s="530" t="s">
        <v>1393</v>
      </c>
      <c r="E328" s="531"/>
      <c r="F328" s="532"/>
      <c r="G328" s="533" t="s">
        <v>35</v>
      </c>
      <c r="H328" s="534"/>
      <c r="I328" s="44" t="s">
        <v>1395</v>
      </c>
      <c r="J328" s="66" t="s">
        <v>36</v>
      </c>
      <c r="K328" s="535" t="s">
        <v>1394</v>
      </c>
      <c r="L328" s="536"/>
      <c r="M328" s="66" t="s">
        <v>37</v>
      </c>
      <c r="N328" s="45"/>
      <c r="O328" s="58"/>
    </row>
    <row r="329" spans="1:19" ht="18.75" thickTop="1" thickBot="1" x14ac:dyDescent="0.25">
      <c r="C329" s="66" t="s">
        <v>34</v>
      </c>
      <c r="D329" s="530" t="s">
        <v>1397</v>
      </c>
      <c r="E329" s="531"/>
      <c r="F329" s="532"/>
      <c r="G329" s="533" t="s">
        <v>35</v>
      </c>
      <c r="H329" s="534"/>
      <c r="I329" s="44" t="s">
        <v>1398</v>
      </c>
      <c r="J329" s="66" t="s">
        <v>36</v>
      </c>
      <c r="K329" s="535" t="s">
        <v>1396</v>
      </c>
      <c r="L329" s="536"/>
      <c r="M329" s="66" t="s">
        <v>37</v>
      </c>
      <c r="N329" s="45"/>
      <c r="O329" s="58"/>
    </row>
    <row r="330" spans="1:19" ht="16.5" thickTop="1" thickBot="1" x14ac:dyDescent="0.25">
      <c r="O330" s="58"/>
    </row>
    <row r="331" spans="1:19" ht="15" customHeight="1" x14ac:dyDescent="0.2">
      <c r="C331" s="509" t="s">
        <v>19</v>
      </c>
      <c r="D331" s="499" t="s">
        <v>7</v>
      </c>
      <c r="E331" s="512"/>
      <c r="F331" s="500"/>
      <c r="G331" s="519" t="s">
        <v>30</v>
      </c>
      <c r="H331" s="522" t="s">
        <v>38</v>
      </c>
      <c r="I331" s="258" t="s">
        <v>39</v>
      </c>
      <c r="J331" s="258" t="s">
        <v>39</v>
      </c>
      <c r="K331" s="258" t="s">
        <v>39</v>
      </c>
      <c r="L331" s="258" t="s">
        <v>39</v>
      </c>
      <c r="M331" s="258" t="s">
        <v>39</v>
      </c>
      <c r="N331" s="525" t="s">
        <v>40</v>
      </c>
      <c r="O331" s="58"/>
    </row>
    <row r="332" spans="1:19" x14ac:dyDescent="0.2">
      <c r="C332" s="510"/>
      <c r="D332" s="513"/>
      <c r="E332" s="514"/>
      <c r="F332" s="515"/>
      <c r="G332" s="520"/>
      <c r="H332" s="523"/>
      <c r="I332" s="12" t="str">
        <f>D325</f>
        <v>ARQTIPO</v>
      </c>
      <c r="J332" s="12" t="str">
        <f>D326</f>
        <v>D' PAULA</v>
      </c>
      <c r="K332" s="12" t="str">
        <f>D327</f>
        <v>EVF</v>
      </c>
      <c r="L332" s="12" t="str">
        <f>D328</f>
        <v>COPASUL</v>
      </c>
      <c r="M332" s="12" t="str">
        <f>D329</f>
        <v>BRITTANIA</v>
      </c>
      <c r="N332" s="526"/>
      <c r="O332" s="58"/>
    </row>
    <row r="333" spans="1:19" ht="15" customHeight="1" x14ac:dyDescent="0.2">
      <c r="C333" s="510"/>
      <c r="D333" s="513"/>
      <c r="E333" s="514"/>
      <c r="F333" s="515"/>
      <c r="G333" s="520"/>
      <c r="H333" s="523"/>
      <c r="I333" s="528" t="s">
        <v>41</v>
      </c>
      <c r="J333" s="528" t="s">
        <v>41</v>
      </c>
      <c r="K333" s="528" t="s">
        <v>41</v>
      </c>
      <c r="L333" s="528" t="s">
        <v>41</v>
      </c>
      <c r="M333" s="528" t="s">
        <v>41</v>
      </c>
      <c r="N333" s="526"/>
      <c r="O333" s="58"/>
    </row>
    <row r="334" spans="1:19" ht="15.75" thickBot="1" x14ac:dyDescent="0.25">
      <c r="C334" s="511"/>
      <c r="D334" s="516"/>
      <c r="E334" s="517"/>
      <c r="F334" s="518"/>
      <c r="G334" s="521"/>
      <c r="H334" s="524"/>
      <c r="I334" s="529"/>
      <c r="J334" s="529"/>
      <c r="K334" s="529"/>
      <c r="L334" s="529"/>
      <c r="M334" s="529"/>
      <c r="N334" s="527"/>
      <c r="O334" s="58"/>
    </row>
    <row r="335" spans="1:19" ht="15.75" thickBot="1" x14ac:dyDescent="0.25">
      <c r="O335" s="58"/>
      <c r="P335" s="200" t="s">
        <v>79</v>
      </c>
      <c r="Q335" s="200" t="s">
        <v>89</v>
      </c>
      <c r="R335" s="200" t="s">
        <v>90</v>
      </c>
    </row>
    <row r="336" spans="1:19" s="67" customFormat="1" x14ac:dyDescent="0.2">
      <c r="A336" s="86"/>
      <c r="B336" s="86"/>
      <c r="C336" s="68"/>
      <c r="D336" s="503"/>
      <c r="E336" s="504"/>
      <c r="F336" s="505"/>
      <c r="G336" s="69"/>
      <c r="H336" s="69"/>
      <c r="I336" s="70"/>
      <c r="J336" s="70"/>
      <c r="K336" s="70"/>
      <c r="L336" s="70"/>
      <c r="M336" s="70"/>
      <c r="N336" s="71"/>
      <c r="O336" s="72"/>
      <c r="P336" s="53"/>
      <c r="Q336" s="17"/>
      <c r="R336" s="17"/>
      <c r="S336" s="73"/>
    </row>
    <row r="337" spans="2:22" ht="42" customHeight="1" x14ac:dyDescent="0.2">
      <c r="B337" s="83" t="s">
        <v>205</v>
      </c>
      <c r="C337" s="74">
        <v>1</v>
      </c>
      <c r="D337" s="506" t="str">
        <f>IFERROR(VLOOKUP(B337,Fontes!$A$9:$AC$6124,2,FALSE),0)</f>
        <v>CA-01 - Caixilho fixo com dimensão de 3,00 x 7,80 m e acabamento em pintura eletrostática na cor vermelha e vidros laminados 8 mm contendo 4 requadros de caixilhos basculantes (pivo central) com dimensão de 0,54 x 1,10 m</v>
      </c>
      <c r="E337" s="507">
        <f>IFERROR(VLOOKUP(D337,Planilha!$B$10:$AC$943,4,FALSE),0)</f>
        <v>0</v>
      </c>
      <c r="F337" s="508">
        <f>IFERROR(VLOOKUP(E337,Planilha!$B$10:$AC$943,4,FALSE),0)</f>
        <v>0</v>
      </c>
      <c r="G337" s="75" t="str">
        <f>IFERROR(VLOOKUP(B337,Fontes!$A$9:$AC$6124,3,FALSE),0)</f>
        <v>un</v>
      </c>
      <c r="H337" s="76">
        <v>1</v>
      </c>
      <c r="I337" s="77">
        <v>18403.14</v>
      </c>
      <c r="J337" s="77">
        <f>61595/2</f>
        <v>30797.5</v>
      </c>
      <c r="K337" s="77">
        <v>45630</v>
      </c>
      <c r="L337" s="77"/>
      <c r="M337" s="77"/>
      <c r="N337" s="78">
        <f>IFERROR(+AVERAGE(I337,J337,K337,L337,M337),0)</f>
        <v>31610.213333333333</v>
      </c>
      <c r="O337" s="58"/>
      <c r="P337" s="18"/>
      <c r="Q337" s="18">
        <f>N337</f>
        <v>31610.213333333333</v>
      </c>
      <c r="R337" s="18"/>
      <c r="U337" s="53"/>
      <c r="V337" s="18"/>
    </row>
    <row r="338" spans="2:22" ht="52.5" customHeight="1" x14ac:dyDescent="0.2">
      <c r="B338" s="83" t="s">
        <v>1333</v>
      </c>
      <c r="C338" s="74">
        <v>2</v>
      </c>
      <c r="D338" s="506" t="str">
        <f>IFERROR(VLOOKUP(B338,Fontes!$A$9:$AC$6124,2,FALSE),0)</f>
        <v>CA-01A - Caixilho fixo com dimensão de 3,00 x 7,80 m e acabamento em pintura eletrostática na cor vermelha e vidros laminados 8 mm contendo 4 requadros de caixilhos basculantes (pivo central) com dimensão de 0,54 x 1,10 m (Vidro serigrafado na cor branca conforme desenho de arquitetura)</v>
      </c>
      <c r="E338" s="507">
        <f>IFERROR(VLOOKUP(D338,Planilha!$B$10:$AC$943,4,FALSE),0)</f>
        <v>0</v>
      </c>
      <c r="F338" s="508">
        <f>IFERROR(VLOOKUP(E338,Planilha!$B$10:$AC$943,4,FALSE),0)</f>
        <v>0</v>
      </c>
      <c r="G338" s="75" t="str">
        <f>IFERROR(VLOOKUP(B338,Fontes!$A$9:$AC$6124,3,FALSE),0)</f>
        <v>un</v>
      </c>
      <c r="H338" s="76">
        <v>1</v>
      </c>
      <c r="I338" s="77"/>
      <c r="J338" s="77">
        <f>123190/4</f>
        <v>30797.5</v>
      </c>
      <c r="K338" s="77">
        <v>49060</v>
      </c>
      <c r="L338" s="77"/>
      <c r="M338" s="77"/>
      <c r="N338" s="78">
        <f t="shared" ref="N338" si="18">IFERROR(+AVERAGE(I338,J338,K338,L338,M338),0)</f>
        <v>39928.75</v>
      </c>
      <c r="O338" s="58"/>
      <c r="P338" s="18"/>
      <c r="Q338" s="18">
        <f>N338</f>
        <v>39928.75</v>
      </c>
      <c r="R338" s="18"/>
      <c r="U338" s="53"/>
      <c r="V338" s="18"/>
    </row>
    <row r="339" spans="2:22" ht="42" customHeight="1" x14ac:dyDescent="0.2">
      <c r="B339" s="83" t="s">
        <v>1334</v>
      </c>
      <c r="C339" s="74">
        <v>3</v>
      </c>
      <c r="D339" s="506" t="str">
        <f>IFERROR(VLOOKUP(B339,Fontes!$A$9:$AC$6124,2,FALSE),0)</f>
        <v>CA-02 - Caixilho fixo com dimensão de 3,00 x 7,80 m e acabamento em pintura eletrostática na cor vermelha e vidros laminados 8 mm contendo 4 requadros de caixilhos basculantes (pivo central) com dimensão de 0,54 x 1,10 m</v>
      </c>
      <c r="E339" s="507">
        <f>IFERROR(VLOOKUP(D339,Planilha!$B$10:$AC$943,4,FALSE),0)</f>
        <v>0</v>
      </c>
      <c r="F339" s="508">
        <f>IFERROR(VLOOKUP(E339,Planilha!$B$10:$AC$943,4,FALSE),0)</f>
        <v>0</v>
      </c>
      <c r="G339" s="75" t="str">
        <f>IFERROR(VLOOKUP(B339,Fontes!$A$9:$AC$6124,3,FALSE),0)</f>
        <v>un</v>
      </c>
      <c r="H339" s="76">
        <v>1</v>
      </c>
      <c r="I339" s="77">
        <v>18403.14</v>
      </c>
      <c r="J339" s="77">
        <v>30797</v>
      </c>
      <c r="K339" s="77">
        <v>4530</v>
      </c>
      <c r="L339" s="77"/>
      <c r="M339" s="77"/>
      <c r="N339" s="78">
        <f t="shared" ref="N339:N357" si="19">IFERROR(+AVERAGE(I339,J339,K339,L339,M339),0)</f>
        <v>17910.046666666665</v>
      </c>
      <c r="O339" s="58"/>
      <c r="P339" s="18"/>
      <c r="Q339" s="18">
        <f t="shared" ref="Q339:Q357" si="20">N339</f>
        <v>17910.046666666665</v>
      </c>
      <c r="R339" s="18"/>
      <c r="U339" s="53"/>
      <c r="V339" s="18"/>
    </row>
    <row r="340" spans="2:22" ht="56.25" customHeight="1" x14ac:dyDescent="0.2">
      <c r="B340" s="83" t="s">
        <v>1335</v>
      </c>
      <c r="C340" s="74">
        <v>4</v>
      </c>
      <c r="D340" s="506" t="str">
        <f>IFERROR(VLOOKUP(B340,Fontes!$A$9:$AC$6124,2,FALSE),0)</f>
        <v xml:space="preserve">CA-02A - Caixilho fixo com dimensão de 3,00 x 7,80 m e acabamento em pintura eletrostática na cor vermelha e vidros laminados 8 mm contendo 4 requadros de caixilhos basculantes (pivo central) com dimensão de 0,54 x 1,10 m  (Vidro serigrafado na cor branca conforme desenho de arquitetura) </v>
      </c>
      <c r="E340" s="507">
        <f>IFERROR(VLOOKUP(D340,Planilha!$B$10:$AC$943,4,FALSE),0)</f>
        <v>0</v>
      </c>
      <c r="F340" s="508">
        <f>IFERROR(VLOOKUP(E340,Planilha!$B$10:$AC$943,4,FALSE),0)</f>
        <v>0</v>
      </c>
      <c r="G340" s="75" t="str">
        <f>IFERROR(VLOOKUP(B340,Fontes!$A$9:$AC$6124,3,FALSE),0)</f>
        <v>un</v>
      </c>
      <c r="H340" s="76">
        <v>1</v>
      </c>
      <c r="I340" s="77">
        <v>30786.92</v>
      </c>
      <c r="J340" s="77">
        <f>123190/4</f>
        <v>30797.5</v>
      </c>
      <c r="K340" s="77">
        <v>49060</v>
      </c>
      <c r="L340" s="77"/>
      <c r="M340" s="77"/>
      <c r="N340" s="78">
        <f t="shared" si="19"/>
        <v>36881.473333333335</v>
      </c>
      <c r="O340" s="58"/>
      <c r="P340" s="18"/>
      <c r="Q340" s="18">
        <f t="shared" si="20"/>
        <v>36881.473333333335</v>
      </c>
      <c r="R340" s="18"/>
      <c r="U340" s="53"/>
      <c r="V340" s="18"/>
    </row>
    <row r="341" spans="2:22" ht="42" customHeight="1" x14ac:dyDescent="0.2">
      <c r="B341" s="83" t="s">
        <v>1336</v>
      </c>
      <c r="C341" s="74">
        <v>5</v>
      </c>
      <c r="D341" s="506" t="str">
        <f>IFERROR(VLOOKUP(B341,Fontes!$A$9:$AC$6124,2,FALSE),0)</f>
        <v>CA-03 - Caixilho fixo com dimensão de 3,00 x 3,39 m e acabamento em pintura eletrostática na cor vermelha e vidros laminados 8 mm contendo 1 requadro de caixilho basculante (pivo central) com dimensão de 0,54 x 1,10 m</v>
      </c>
      <c r="E341" s="507">
        <f>IFERROR(VLOOKUP(D341,Planilha!$B$10:$AC$943,4,FALSE),0)</f>
        <v>0</v>
      </c>
      <c r="F341" s="508">
        <f>IFERROR(VLOOKUP(E341,Planilha!$B$10:$AC$943,4,FALSE),0)</f>
        <v>0</v>
      </c>
      <c r="G341" s="75" t="str">
        <f>IFERROR(VLOOKUP(B341,Fontes!$A$9:$AC$6124,3,FALSE),0)</f>
        <v>un</v>
      </c>
      <c r="H341" s="76">
        <v>1</v>
      </c>
      <c r="I341" s="77">
        <v>8101.54</v>
      </c>
      <c r="J341" s="77">
        <v>13790</v>
      </c>
      <c r="K341" s="77">
        <v>19890</v>
      </c>
      <c r="L341" s="77"/>
      <c r="M341" s="77"/>
      <c r="N341" s="78">
        <f t="shared" si="19"/>
        <v>13927.18</v>
      </c>
      <c r="O341" s="58"/>
      <c r="P341" s="18"/>
      <c r="Q341" s="18">
        <f t="shared" si="20"/>
        <v>13927.18</v>
      </c>
      <c r="R341" s="18"/>
      <c r="U341" s="53"/>
      <c r="V341" s="18"/>
    </row>
    <row r="342" spans="2:22" ht="42" customHeight="1" x14ac:dyDescent="0.2">
      <c r="B342" s="83" t="s">
        <v>1337</v>
      </c>
      <c r="C342" s="74">
        <v>6</v>
      </c>
      <c r="D342" s="506" t="str">
        <f>IFERROR(VLOOKUP(B342,Fontes!$A$9:$AC$6124,2,FALSE),0)</f>
        <v>CA-04 - Caixilho fixo com veneziana (ventilação 100%) com dimensão de 3,00 x 1,97 m e acabamento em pintura eletrostática na cor vermelha em perfil de aluminio e bandeira lateral e superior fixa em chapa de alumínio integral de 1,5 mm</v>
      </c>
      <c r="E342" s="507">
        <f>IFERROR(VLOOKUP(D342,Planilha!$B$10:$AC$943,4,FALSE),0)</f>
        <v>0</v>
      </c>
      <c r="F342" s="508">
        <f>IFERROR(VLOOKUP(E342,Planilha!$B$10:$AC$943,4,FALSE),0)</f>
        <v>0</v>
      </c>
      <c r="G342" s="75" t="str">
        <f>IFERROR(VLOOKUP(B342,Fontes!$A$9:$AC$6124,3,FALSE),0)</f>
        <v>un</v>
      </c>
      <c r="H342" s="76">
        <v>1</v>
      </c>
      <c r="I342" s="77">
        <v>7615.65</v>
      </c>
      <c r="J342" s="77">
        <v>7990</v>
      </c>
      <c r="K342" s="77">
        <v>11700</v>
      </c>
      <c r="L342" s="77"/>
      <c r="M342" s="77"/>
      <c r="N342" s="78">
        <f t="shared" si="19"/>
        <v>9101.8833333333332</v>
      </c>
      <c r="O342" s="58"/>
      <c r="P342" s="18"/>
      <c r="Q342" s="18">
        <f t="shared" si="20"/>
        <v>9101.8833333333332</v>
      </c>
      <c r="R342" s="18"/>
      <c r="U342" s="53"/>
      <c r="V342" s="18"/>
    </row>
    <row r="343" spans="2:22" ht="42" customHeight="1" x14ac:dyDescent="0.2">
      <c r="B343" s="83" t="s">
        <v>1338</v>
      </c>
      <c r="C343" s="74">
        <v>7</v>
      </c>
      <c r="D343" s="506" t="str">
        <f>IFERROR(VLOOKUP(B343,Fontes!$A$9:$AC$6124,2,FALSE),0)</f>
        <v>CA-05 - Caixilho fixo com dimensão de 3,00 x 7,80 m e acabamento em pintura eletrostática na cor vermelha e vidros laminados 8 mm contendo 4 requadros de caixilhos basculantes (pivo central) com dimensão de 0,54 x 1,10 m</v>
      </c>
      <c r="E343" s="507">
        <f>IFERROR(VLOOKUP(D343,Planilha!$B$10:$AC$943,4,FALSE),0)</f>
        <v>0</v>
      </c>
      <c r="F343" s="508">
        <f>IFERROR(VLOOKUP(E343,Planilha!$B$10:$AC$943,4,FALSE),0)</f>
        <v>0</v>
      </c>
      <c r="G343" s="75" t="str">
        <f>IFERROR(VLOOKUP(B343,Fontes!$A$9:$AC$6124,3,FALSE),0)</f>
        <v>un</v>
      </c>
      <c r="H343" s="76">
        <v>1</v>
      </c>
      <c r="I343" s="77">
        <v>18403.14</v>
      </c>
      <c r="J343" s="77">
        <f>61595/2</f>
        <v>30797.5</v>
      </c>
      <c r="K343" s="77">
        <v>45630</v>
      </c>
      <c r="L343" s="77"/>
      <c r="M343" s="77"/>
      <c r="N343" s="78">
        <f t="shared" si="19"/>
        <v>31610.213333333333</v>
      </c>
      <c r="O343" s="58"/>
      <c r="P343" s="18"/>
      <c r="Q343" s="18">
        <f t="shared" si="20"/>
        <v>31610.213333333333</v>
      </c>
      <c r="R343" s="18"/>
      <c r="U343" s="53"/>
      <c r="V343" s="18"/>
    </row>
    <row r="344" spans="2:22" ht="52.5" customHeight="1" x14ac:dyDescent="0.2">
      <c r="B344" s="83" t="s">
        <v>1339</v>
      </c>
      <c r="C344" s="74">
        <v>8</v>
      </c>
      <c r="D344" s="506" t="str">
        <f>IFERROR(VLOOKUP(B344,Fontes!$A$9:$AC$6124,2,FALSE),0)</f>
        <v>CA-05A - Caixilho fixo com dimensão de 3,00 x 7,80 m e acabamento em pintura eletrostática na cor vermelha e vidros laminados 8 mm contendo 4 requadros de caixilhos basculantes (pivo central) com dimensão de 0,54 x 1,10 m (Vidro serigrafado na cor branca conforme desenho de arquitetura)</v>
      </c>
      <c r="E344" s="507">
        <f>IFERROR(VLOOKUP(D344,Planilha!$B$10:$AC$943,4,FALSE),0)</f>
        <v>0</v>
      </c>
      <c r="F344" s="508">
        <f>IFERROR(VLOOKUP(E344,Planilha!$B$10:$AC$943,4,FALSE),0)</f>
        <v>0</v>
      </c>
      <c r="G344" s="75" t="str">
        <f>IFERROR(VLOOKUP(B344,Fontes!$A$9:$AC$6124,3,FALSE),0)</f>
        <v>un</v>
      </c>
      <c r="H344" s="76">
        <v>1</v>
      </c>
      <c r="I344" s="77">
        <v>30786.92</v>
      </c>
      <c r="J344" s="77">
        <f>61595/2</f>
        <v>30797.5</v>
      </c>
      <c r="K344" s="77">
        <v>49060</v>
      </c>
      <c r="L344" s="77"/>
      <c r="M344" s="77"/>
      <c r="N344" s="78">
        <f t="shared" si="19"/>
        <v>36881.473333333335</v>
      </c>
      <c r="O344" s="58"/>
      <c r="P344" s="18"/>
      <c r="Q344" s="18">
        <f t="shared" si="20"/>
        <v>36881.473333333335</v>
      </c>
      <c r="R344" s="18"/>
      <c r="U344" s="53"/>
      <c r="V344" s="18"/>
    </row>
    <row r="345" spans="2:22" ht="42" customHeight="1" x14ac:dyDescent="0.2">
      <c r="B345" s="83" t="s">
        <v>1340</v>
      </c>
      <c r="C345" s="74">
        <v>9</v>
      </c>
      <c r="D345" s="506" t="str">
        <f>IFERROR(VLOOKUP(B345,Fontes!$A$9:$AC$6124,2,FALSE),0)</f>
        <v>CA-06 - Caixilho fixo com dimensão de 3,00 x 7,80 m e acabamento em pintura eletrostática na cor vermelha e vidros laminados 8 mm contendo 4 requadros de caixilhos basculantes (pivo central) com dimensão de 0,54 x 1,10 m</v>
      </c>
      <c r="E345" s="507">
        <f>IFERROR(VLOOKUP(D345,Planilha!$B$10:$AC$943,4,FALSE),0)</f>
        <v>0</v>
      </c>
      <c r="F345" s="508">
        <f>IFERROR(VLOOKUP(E345,Planilha!$B$10:$AC$943,4,FALSE),0)</f>
        <v>0</v>
      </c>
      <c r="G345" s="75" t="str">
        <f>IFERROR(VLOOKUP(B345,Fontes!$A$9:$AC$6124,3,FALSE),0)</f>
        <v>un</v>
      </c>
      <c r="H345" s="76">
        <v>1</v>
      </c>
      <c r="I345" s="77">
        <v>18403.14</v>
      </c>
      <c r="J345" s="77">
        <f>61595/2</f>
        <v>30797.5</v>
      </c>
      <c r="K345" s="77">
        <v>45630</v>
      </c>
      <c r="L345" s="77"/>
      <c r="M345" s="77"/>
      <c r="N345" s="78">
        <f t="shared" si="19"/>
        <v>31610.213333333333</v>
      </c>
      <c r="O345" s="58"/>
      <c r="P345" s="18"/>
      <c r="Q345" s="18">
        <f t="shared" si="20"/>
        <v>31610.213333333333</v>
      </c>
      <c r="R345" s="18"/>
      <c r="U345" s="53"/>
      <c r="V345" s="18"/>
    </row>
    <row r="346" spans="2:22" ht="57" customHeight="1" x14ac:dyDescent="0.2">
      <c r="B346" s="83" t="s">
        <v>1341</v>
      </c>
      <c r="C346" s="74">
        <v>10</v>
      </c>
      <c r="D346" s="506" t="str">
        <f>IFERROR(VLOOKUP(B346,Fontes!$A$9:$AC$6124,2,FALSE),0)</f>
        <v>CA-06A - Caixilho fixo com dimensão de 3,00 x 7,80 m e acabamento em pintura eletrostática na cor vermelha e vidros laminados 8 mm contendo 4 requadros de caixilhos basculantes (pivo central) com dimensão de 0,54 x 1,10 m (Vidro serigrafado na cor branca conforme desenho de arquitetura)</v>
      </c>
      <c r="E346" s="507">
        <f>IFERROR(VLOOKUP(D346,Planilha!$B$10:$AC$943,4,FALSE),0)</f>
        <v>0</v>
      </c>
      <c r="F346" s="508">
        <f>IFERROR(VLOOKUP(E346,Planilha!$B$10:$AC$943,4,FALSE),0)</f>
        <v>0</v>
      </c>
      <c r="G346" s="75" t="str">
        <f>IFERROR(VLOOKUP(B346,Fontes!$A$9:$AC$6124,3,FALSE),0)</f>
        <v>un</v>
      </c>
      <c r="H346" s="76">
        <v>1</v>
      </c>
      <c r="I346" s="77">
        <v>30786.92</v>
      </c>
      <c r="J346" s="77">
        <f>61595/2</f>
        <v>30797.5</v>
      </c>
      <c r="K346" s="77">
        <v>49060</v>
      </c>
      <c r="L346" s="77"/>
      <c r="M346" s="77"/>
      <c r="N346" s="78">
        <f t="shared" si="19"/>
        <v>36881.473333333335</v>
      </c>
      <c r="O346" s="58"/>
      <c r="P346" s="18"/>
      <c r="Q346" s="18">
        <f t="shared" si="20"/>
        <v>36881.473333333335</v>
      </c>
      <c r="R346" s="18"/>
      <c r="U346" s="53"/>
      <c r="V346" s="18"/>
    </row>
    <row r="347" spans="2:22" ht="57" customHeight="1" x14ac:dyDescent="0.2">
      <c r="B347" s="83" t="s">
        <v>1342</v>
      </c>
      <c r="C347" s="74">
        <v>11</v>
      </c>
      <c r="D347" s="506" t="str">
        <f>IFERROR(VLOOKUP(B347,Fontes!$A$9:$AC$6124,2,FALSE),0)</f>
        <v>CA-07 - Caixilho de correr (com 3 folhas), dimensão de 3,43 x 7,58 m e acabamento em pintura eletrostática na cor vermelha e vidros laminados 8 mm com bandeira fixa superior em chapa de alumínio integral de 1,5mm, contendo dois puxadores (Ref.: Udinese - Linha Linea) na mesma cor do caixilho</v>
      </c>
      <c r="E347" s="507">
        <f>IFERROR(VLOOKUP(D347,Planilha!$B$10:$AC$943,4,FALSE),0)</f>
        <v>0</v>
      </c>
      <c r="F347" s="508">
        <f>IFERROR(VLOOKUP(E347,Planilha!$B$10:$AC$943,4,FALSE),0)</f>
        <v>0</v>
      </c>
      <c r="G347" s="75" t="str">
        <f>IFERROR(VLOOKUP(B347,Fontes!$A$9:$AC$6124,3,FALSE),0)</f>
        <v>un</v>
      </c>
      <c r="H347" s="76">
        <v>1</v>
      </c>
      <c r="I347" s="77">
        <f>43563.94*0.55</f>
        <v>23960.167000000005</v>
      </c>
      <c r="J347" s="77">
        <v>74955</v>
      </c>
      <c r="K347" s="77">
        <v>50700</v>
      </c>
      <c r="L347" s="77"/>
      <c r="M347" s="77"/>
      <c r="N347" s="78">
        <f t="shared" si="19"/>
        <v>49871.722333333339</v>
      </c>
      <c r="O347" s="58"/>
      <c r="P347" s="18"/>
      <c r="Q347" s="18">
        <f t="shared" si="20"/>
        <v>49871.722333333339</v>
      </c>
      <c r="R347" s="18"/>
      <c r="U347" s="53"/>
      <c r="V347" s="18"/>
    </row>
    <row r="348" spans="2:22" ht="69" customHeight="1" x14ac:dyDescent="0.2">
      <c r="B348" s="83" t="s">
        <v>1343</v>
      </c>
      <c r="C348" s="74">
        <v>12</v>
      </c>
      <c r="D348" s="506" t="str">
        <f>IFERROR(VLOOKUP(B348,Fontes!$A$9:$AC$6124,2,FALSE),0)</f>
        <v>CA-07A - Caixilho de correr (com 2 folhas), dimensão de 3,43 x 7,41 m e acabamento em pintura eletrostática na cor vermelha e vidros laminados 8 mm com bandeira fixa superior em chapa de alumínio integral de 1,5 mm, contendo dois puxadores (Ref.: Udinese - Linha Linea) na mesma cor do caixilho. Prever estruturação de fechamento em alumínio para acabamento da alvenaria conforme desenho de arquitetura</v>
      </c>
      <c r="E348" s="507">
        <f>IFERROR(VLOOKUP(D348,Planilha!$B$10:$AC$943,4,FALSE),0)</f>
        <v>0</v>
      </c>
      <c r="F348" s="508">
        <f>IFERROR(VLOOKUP(E348,Planilha!$B$10:$AC$943,4,FALSE),0)</f>
        <v>0</v>
      </c>
      <c r="G348" s="75" t="str">
        <f>IFERROR(VLOOKUP(B348,Fontes!$A$9:$AC$6124,3,FALSE),0)</f>
        <v>un</v>
      </c>
      <c r="H348" s="76">
        <v>1</v>
      </c>
      <c r="I348" s="77">
        <f>43563.94*0.45</f>
        <v>19603.773000000001</v>
      </c>
      <c r="J348" s="77">
        <v>40710</v>
      </c>
      <c r="K348" s="77">
        <v>53900</v>
      </c>
      <c r="L348" s="77"/>
      <c r="M348" s="77"/>
      <c r="N348" s="78">
        <f t="shared" si="19"/>
        <v>38071.257666666665</v>
      </c>
      <c r="O348" s="58"/>
      <c r="P348" s="18"/>
      <c r="Q348" s="18">
        <f t="shared" si="20"/>
        <v>38071.257666666665</v>
      </c>
      <c r="R348" s="18"/>
      <c r="U348" s="53"/>
      <c r="V348" s="18"/>
    </row>
    <row r="349" spans="2:22" ht="34.5" customHeight="1" x14ac:dyDescent="0.2">
      <c r="B349" s="83" t="s">
        <v>1351</v>
      </c>
      <c r="C349" s="74">
        <v>13</v>
      </c>
      <c r="D349" s="506" t="str">
        <f>IFERROR(VLOOKUP(B349,Fontes!$A$9:$AC$6124,2,FALSE),0)</f>
        <v>CA-08 - Caixilho tipo pele de vidro com seis portas duplas 2,00 x 2,20 m, em vidros laminados 10 mm, dimensões do conjunto 19,50 x 11,95 m</v>
      </c>
      <c r="E349" s="507">
        <f>IFERROR(VLOOKUP(D349,Planilha!$B$10:$AC$943,4,FALSE),0)</f>
        <v>0</v>
      </c>
      <c r="F349" s="508">
        <f>IFERROR(VLOOKUP(E349,Planilha!$B$10:$AC$943,4,FALSE),0)</f>
        <v>0</v>
      </c>
      <c r="G349" s="75" t="str">
        <f>IFERROR(VLOOKUP(B349,Fontes!$A$9:$AC$6124,3,FALSE),0)</f>
        <v>cj</v>
      </c>
      <c r="H349" s="76">
        <v>1</v>
      </c>
      <c r="I349" s="77"/>
      <c r="J349" s="77"/>
      <c r="K349" s="77">
        <v>105900</v>
      </c>
      <c r="L349" s="77"/>
      <c r="M349" s="77"/>
      <c r="N349" s="78">
        <f t="shared" ref="N349" si="21">IFERROR(+AVERAGE(I349,J349,K349,L349,M349),0)</f>
        <v>105900</v>
      </c>
      <c r="O349" s="58"/>
      <c r="P349" s="18"/>
      <c r="Q349" s="18">
        <f t="shared" si="20"/>
        <v>105900</v>
      </c>
      <c r="R349" s="18"/>
      <c r="U349" s="53"/>
      <c r="V349" s="18"/>
    </row>
    <row r="350" spans="2:22" ht="33" customHeight="1" x14ac:dyDescent="0.2">
      <c r="B350" s="83" t="s">
        <v>1352</v>
      </c>
      <c r="C350" s="74">
        <v>14</v>
      </c>
      <c r="D350" s="506" t="str">
        <f>IFERROR(VLOOKUP(B350,Fontes!$A$9:$AC$6124,2,FALSE),0)</f>
        <v>CA-09 - Caixilho tipo pele de vidro com porta dupla pivotante, em vidros laminados 10 mm, dimensões 5,73 x 7,55 m</v>
      </c>
      <c r="E350" s="507">
        <f>IFERROR(VLOOKUP(D350,Planilha!$B$10:$AC$943,4,FALSE),0)</f>
        <v>0</v>
      </c>
      <c r="F350" s="508">
        <f>IFERROR(VLOOKUP(E350,Planilha!$B$10:$AC$943,4,FALSE),0)</f>
        <v>0</v>
      </c>
      <c r="G350" s="75" t="str">
        <f>IFERROR(VLOOKUP(B350,Fontes!$A$9:$AC$6124,3,FALSE),0)</f>
        <v>cj</v>
      </c>
      <c r="H350" s="76">
        <v>1</v>
      </c>
      <c r="I350" s="77">
        <v>400770.92</v>
      </c>
      <c r="J350" s="77"/>
      <c r="K350" s="77">
        <v>570900</v>
      </c>
      <c r="L350" s="77"/>
      <c r="M350" s="77"/>
      <c r="N350" s="78">
        <f t="shared" ref="N350" si="22">IFERROR(+AVERAGE(I350,J350,K350,L350,M350),0)</f>
        <v>485835.45999999996</v>
      </c>
      <c r="O350" s="58"/>
      <c r="P350" s="18"/>
      <c r="Q350" s="18">
        <f t="shared" si="20"/>
        <v>485835.45999999996</v>
      </c>
      <c r="R350" s="18"/>
      <c r="U350" s="53"/>
      <c r="V350" s="18"/>
    </row>
    <row r="351" spans="2:22" ht="42" customHeight="1" x14ac:dyDescent="0.2">
      <c r="B351" s="83" t="s">
        <v>1344</v>
      </c>
      <c r="C351" s="74">
        <v>15</v>
      </c>
      <c r="D351" s="506" t="str">
        <f>IFERROR(VLOOKUP(B351,Fontes!$A$9:$AC$6124,2,FALSE),0)</f>
        <v>CA-10 - Caixilho fixo com dimensão de 1,93 x 3,12 m e acabamento em pintura eletrostática na cor vermelha e vidros laminados 6 mm contendo 1 requadro de caixilho basculante (pivo central) com dimensão de 0,54 x 1,10 m</v>
      </c>
      <c r="E351" s="507">
        <f>IFERROR(VLOOKUP(D351,Planilha!$B$10:$AC$943,4,FALSE),0)</f>
        <v>0</v>
      </c>
      <c r="F351" s="508">
        <f>IFERROR(VLOOKUP(E351,Planilha!$B$10:$AC$943,4,FALSE),0)</f>
        <v>0</v>
      </c>
      <c r="G351" s="75" t="str">
        <f>IFERROR(VLOOKUP(B351,Fontes!$A$9:$AC$6124,3,FALSE),0)</f>
        <v>un</v>
      </c>
      <c r="H351" s="76">
        <v>1</v>
      </c>
      <c r="I351" s="77">
        <v>3963.5</v>
      </c>
      <c r="J351" s="77">
        <f>16286/2</f>
        <v>8143</v>
      </c>
      <c r="K351" s="77">
        <v>1180</v>
      </c>
      <c r="L351" s="77"/>
      <c r="M351" s="77"/>
      <c r="N351" s="78">
        <f t="shared" si="19"/>
        <v>4428.833333333333</v>
      </c>
      <c r="O351" s="58"/>
      <c r="P351" s="18"/>
      <c r="Q351" s="18">
        <f t="shared" si="20"/>
        <v>4428.833333333333</v>
      </c>
      <c r="R351" s="18"/>
      <c r="U351" s="53"/>
      <c r="V351" s="18"/>
    </row>
    <row r="352" spans="2:22" ht="42" customHeight="1" x14ac:dyDescent="0.2">
      <c r="B352" s="83" t="s">
        <v>1345</v>
      </c>
      <c r="C352" s="74">
        <v>16</v>
      </c>
      <c r="D352" s="506" t="str">
        <f>IFERROR(VLOOKUP(B352,Fontes!$A$9:$AC$6124,2,FALSE),0)</f>
        <v>CA-11 - Caixilho fixo com dimensão de 1,93 x 3,12 m e acabamento em pintura eletrostática na cor vermelha e vidros laminados 6 mm contendo 1 requadro de caixilho basculante (pivo central) com dimensão de 0,54 x 1,10 m</v>
      </c>
      <c r="E352" s="507">
        <f>IFERROR(VLOOKUP(D352,Planilha!$B$10:$AC$943,4,FALSE),0)</f>
        <v>0</v>
      </c>
      <c r="F352" s="508">
        <f>IFERROR(VLOOKUP(E352,Planilha!$B$10:$AC$943,4,FALSE),0)</f>
        <v>0</v>
      </c>
      <c r="G352" s="75" t="str">
        <f>IFERROR(VLOOKUP(B352,Fontes!$A$9:$AC$6124,3,FALSE),0)</f>
        <v>un</v>
      </c>
      <c r="H352" s="76">
        <v>1</v>
      </c>
      <c r="I352" s="77">
        <v>3963.5</v>
      </c>
      <c r="J352" s="77">
        <f>16286/2</f>
        <v>8143</v>
      </c>
      <c r="K352" s="77">
        <v>1180</v>
      </c>
      <c r="L352" s="77"/>
      <c r="M352" s="77"/>
      <c r="N352" s="78">
        <f t="shared" si="19"/>
        <v>4428.833333333333</v>
      </c>
      <c r="O352" s="58"/>
      <c r="P352" s="18"/>
      <c r="Q352" s="18">
        <f t="shared" si="20"/>
        <v>4428.833333333333</v>
      </c>
      <c r="R352" s="18"/>
      <c r="U352" s="53"/>
      <c r="V352" s="18"/>
    </row>
    <row r="353" spans="1:22" ht="42" customHeight="1" x14ac:dyDescent="0.2">
      <c r="B353" s="83" t="s">
        <v>1346</v>
      </c>
      <c r="C353" s="74">
        <v>17</v>
      </c>
      <c r="D353" s="506" t="str">
        <f>IFERROR(VLOOKUP(B353,Fontes!$A$9:$AC$6124,2,FALSE),0)</f>
        <v>CA-12 - Caixilho fixo com veneziana (ventilação 100%) com dimensão de 2,06 x 0,60 m e acabamento em pintura eletrostática na cor vermelha em perfil de aluminio, com perfil cantoneira de alumínio para arremate na fixação em painel de concreto</v>
      </c>
      <c r="E353" s="507">
        <f>IFERROR(VLOOKUP(D353,Planilha!$B$10:$AC$943,4,FALSE),0)</f>
        <v>0</v>
      </c>
      <c r="F353" s="508">
        <f>IFERROR(VLOOKUP(E353,Planilha!$B$10:$AC$943,4,FALSE),0)</f>
        <v>0</v>
      </c>
      <c r="G353" s="75" t="str">
        <f>IFERROR(VLOOKUP(B353,Fontes!$A$9:$AC$6124,3,FALSE),0)</f>
        <v>un</v>
      </c>
      <c r="H353" s="76">
        <v>1</v>
      </c>
      <c r="I353" s="77">
        <v>818.82</v>
      </c>
      <c r="J353" s="77">
        <f>3752/2</f>
        <v>1876</v>
      </c>
      <c r="K353" s="77">
        <v>2410</v>
      </c>
      <c r="L353" s="77"/>
      <c r="M353" s="77"/>
      <c r="N353" s="78">
        <f t="shared" si="19"/>
        <v>1701.6066666666666</v>
      </c>
      <c r="O353" s="58"/>
      <c r="P353" s="18"/>
      <c r="Q353" s="18">
        <f t="shared" si="20"/>
        <v>1701.6066666666666</v>
      </c>
      <c r="R353" s="18"/>
      <c r="U353" s="53"/>
      <c r="V353" s="18"/>
    </row>
    <row r="354" spans="1:22" ht="42" customHeight="1" x14ac:dyDescent="0.2">
      <c r="B354" s="83" t="s">
        <v>1347</v>
      </c>
      <c r="C354" s="74">
        <v>18</v>
      </c>
      <c r="D354" s="506" t="str">
        <f>IFERROR(VLOOKUP(B354,Fontes!$A$9:$AC$6124,2,FALSE),0)</f>
        <v>CA-13 - Caixilho de correr (com 4 folhas), dimensão de 3,00 x 7,85 m e acabamento em pintura eletrostática na cor vermelha e vidros laminados 8 mm contendo dois puxadores (Ref.: Udinese - Linha Linea) na mesma cor do caixilho</v>
      </c>
      <c r="E354" s="507">
        <f>IFERROR(VLOOKUP(D354,Planilha!$B$10:$AC$943,4,FALSE),0)</f>
        <v>0</v>
      </c>
      <c r="F354" s="508">
        <f>IFERROR(VLOOKUP(E354,Planilha!$B$10:$AC$943,4,FALSE),0)</f>
        <v>0</v>
      </c>
      <c r="G354" s="75" t="str">
        <f>IFERROR(VLOOKUP(B354,Fontes!$A$9:$AC$6124,3,FALSE),0)</f>
        <v>un</v>
      </c>
      <c r="H354" s="76">
        <v>1</v>
      </c>
      <c r="I354" s="77">
        <v>22018.23</v>
      </c>
      <c r="J354" s="77">
        <f>63680/2</f>
        <v>31840</v>
      </c>
      <c r="K354" s="77">
        <v>45630</v>
      </c>
      <c r="L354" s="77"/>
      <c r="M354" s="77"/>
      <c r="N354" s="78">
        <f t="shared" si="19"/>
        <v>33162.743333333332</v>
      </c>
      <c r="O354" s="58"/>
      <c r="P354" s="18"/>
      <c r="Q354" s="18">
        <f t="shared" si="20"/>
        <v>33162.743333333332</v>
      </c>
      <c r="R354" s="18"/>
      <c r="U354" s="53"/>
      <c r="V354" s="18"/>
    </row>
    <row r="355" spans="1:22" ht="42" customHeight="1" x14ac:dyDescent="0.2">
      <c r="B355" s="83" t="s">
        <v>1348</v>
      </c>
      <c r="C355" s="74">
        <v>19</v>
      </c>
      <c r="D355" s="506" t="str">
        <f>IFERROR(VLOOKUP(B355,Fontes!$A$9:$AC$6124,2,FALSE),0)</f>
        <v>CA-14 - Caixilho de correr (com 4 folhas), dimensão de 3,00 x 7,85 m e acabamento em pintura eletrostática na cor vermelha e vidros laminados 8 mm contendo dois puxadores (Ref.: Udinese - Linha Linea) na mesma cor do caixilho</v>
      </c>
      <c r="E355" s="507">
        <f>IFERROR(VLOOKUP(D355,Planilha!$B$10:$AC$943,4,FALSE),0)</f>
        <v>0</v>
      </c>
      <c r="F355" s="508">
        <f>IFERROR(VLOOKUP(E355,Planilha!$B$10:$AC$943,4,FALSE),0)</f>
        <v>0</v>
      </c>
      <c r="G355" s="75" t="str">
        <f>IFERROR(VLOOKUP(B355,Fontes!$A$9:$AC$6124,3,FALSE),0)</f>
        <v>un</v>
      </c>
      <c r="H355" s="76">
        <v>1</v>
      </c>
      <c r="I355" s="77">
        <v>22018.23</v>
      </c>
      <c r="J355" s="77">
        <f>63680/2</f>
        <v>31840</v>
      </c>
      <c r="K355" s="77">
        <v>45630</v>
      </c>
      <c r="L355" s="77"/>
      <c r="M355" s="77"/>
      <c r="N355" s="78">
        <f t="shared" si="19"/>
        <v>33162.743333333332</v>
      </c>
      <c r="O355" s="58"/>
      <c r="P355" s="18"/>
      <c r="Q355" s="18">
        <f t="shared" si="20"/>
        <v>33162.743333333332</v>
      </c>
      <c r="R355" s="18"/>
      <c r="U355" s="53"/>
      <c r="V355" s="18"/>
    </row>
    <row r="356" spans="1:22" ht="42" customHeight="1" x14ac:dyDescent="0.2">
      <c r="B356" s="83" t="s">
        <v>1349</v>
      </c>
      <c r="C356" s="74">
        <v>20</v>
      </c>
      <c r="D356" s="506" t="str">
        <f>IFERROR(VLOOKUP(B356,Fontes!$A$9:$AC$6124,2,FALSE),0)</f>
        <v>CA-15 - Caixilho (com 2 folhas de abrir), dimensão total de 3,00 x 2,80 m e acabamento em pintura eletrostática na cor vermelha e vidros laminados 8 mm com bandeira fixa superior e lateral, contendo dois puxadores (Ref.: Udinese - Linha Linea) na mesma cor do caixilho</v>
      </c>
      <c r="E356" s="507">
        <f>IFERROR(VLOOKUP(D356,Planilha!$B$10:$AC$943,4,FALSE),0)</f>
        <v>0</v>
      </c>
      <c r="F356" s="508">
        <f>IFERROR(VLOOKUP(E356,Planilha!$B$10:$AC$943,4,FALSE),0)</f>
        <v>0</v>
      </c>
      <c r="G356" s="75" t="str">
        <f>IFERROR(VLOOKUP(B356,Fontes!$A$9:$AC$6124,3,FALSE),0)</f>
        <v>un</v>
      </c>
      <c r="H356" s="76">
        <v>1</v>
      </c>
      <c r="I356" s="77">
        <v>7371.53</v>
      </c>
      <c r="J356" s="77">
        <v>10920</v>
      </c>
      <c r="K356" s="77">
        <v>48700</v>
      </c>
      <c r="L356" s="77"/>
      <c r="M356" s="77"/>
      <c r="N356" s="78">
        <f t="shared" si="19"/>
        <v>22330.51</v>
      </c>
      <c r="O356" s="58"/>
      <c r="P356" s="18"/>
      <c r="Q356" s="18">
        <f t="shared" si="20"/>
        <v>22330.51</v>
      </c>
      <c r="R356" s="18"/>
      <c r="U356" s="53"/>
      <c r="V356" s="18"/>
    </row>
    <row r="357" spans="1:22" ht="42" customHeight="1" x14ac:dyDescent="0.2">
      <c r="B357" s="83" t="s">
        <v>1350</v>
      </c>
      <c r="C357" s="74">
        <v>21</v>
      </c>
      <c r="D357" s="506" t="str">
        <f>IFERROR(VLOOKUP(B357,Fontes!$A$9:$AC$6124,2,FALSE),0)</f>
        <v>CA-16 - Caixilho fixo veneziana com dimensão de 1,80 x 1,80 m e acabamento em pintura eletrostática na cor vermelha instalado a 30 cm acima do nível do piso</v>
      </c>
      <c r="E357" s="507">
        <f>IFERROR(VLOOKUP(D357,Planilha!$B$10:$AC$943,4,FALSE),0)</f>
        <v>0</v>
      </c>
      <c r="F357" s="508">
        <f>IFERROR(VLOOKUP(E357,Planilha!$B$10:$AC$943,4,FALSE),0)</f>
        <v>0</v>
      </c>
      <c r="G357" s="75" t="str">
        <f>IFERROR(VLOOKUP(B357,Fontes!$A$9:$AC$6124,3,FALSE),0)</f>
        <v>un</v>
      </c>
      <c r="H357" s="76">
        <v>1</v>
      </c>
      <c r="I357" s="77">
        <v>1891.23</v>
      </c>
      <c r="J357" s="77">
        <v>4550</v>
      </c>
      <c r="K357" s="77">
        <v>6300</v>
      </c>
      <c r="L357" s="77"/>
      <c r="M357" s="77"/>
      <c r="N357" s="78">
        <f t="shared" si="19"/>
        <v>4247.0766666666668</v>
      </c>
      <c r="O357" s="58"/>
      <c r="P357" s="18"/>
      <c r="Q357" s="18">
        <f t="shared" si="20"/>
        <v>4247.0766666666668</v>
      </c>
      <c r="R357" s="18"/>
      <c r="U357" s="53"/>
      <c r="V357" s="18"/>
    </row>
    <row r="358" spans="1:22" ht="42" customHeight="1" x14ac:dyDescent="0.2">
      <c r="B358" s="83" t="s">
        <v>1353</v>
      </c>
      <c r="C358" s="74">
        <v>22</v>
      </c>
      <c r="D358" s="506" t="str">
        <f>IFERROR(VLOOKUP(B358,Fontes!$A$9:$AC$6124,2,FALSE),0)</f>
        <v>Caixilho veneziana em alumínio com pintura eletrostática na cor branca, para fixação em portas de madeira, dimensões 0,33 x 0,23 m</v>
      </c>
      <c r="E358" s="507">
        <f>IFERROR(VLOOKUP(D358,Planilha!$B$10:$AC$943,4,FALSE),0)</f>
        <v>0</v>
      </c>
      <c r="F358" s="508">
        <f>IFERROR(VLOOKUP(E358,Planilha!$B$10:$AC$943,4,FALSE),0)</f>
        <v>0</v>
      </c>
      <c r="G358" s="75" t="str">
        <f>IFERROR(VLOOKUP(B358,Fontes!$A$9:$AC$6124,3,FALSE),0)</f>
        <v>un</v>
      </c>
      <c r="H358" s="76">
        <v>1</v>
      </c>
      <c r="I358" s="77"/>
      <c r="J358" s="77"/>
      <c r="K358" s="77">
        <v>250</v>
      </c>
      <c r="L358" s="77"/>
      <c r="M358" s="77"/>
      <c r="N358" s="78">
        <f t="shared" ref="N358:N360" si="23">IFERROR(+AVERAGE(I358,J358,K358,L358,M358),0)</f>
        <v>250</v>
      </c>
      <c r="O358" s="58"/>
      <c r="P358" s="18"/>
      <c r="Q358" s="18">
        <f t="shared" ref="Q358:Q360" si="24">N358</f>
        <v>250</v>
      </c>
      <c r="R358" s="18"/>
      <c r="U358" s="53"/>
      <c r="V358" s="18"/>
    </row>
    <row r="359" spans="1:22" ht="42" customHeight="1" x14ac:dyDescent="0.2">
      <c r="B359" s="83" t="s">
        <v>1354</v>
      </c>
      <c r="C359" s="74">
        <v>23</v>
      </c>
      <c r="D359" s="506" t="str">
        <f>IFERROR(VLOOKUP(B359,Fontes!$A$9:$AC$6124,2,FALSE),0)</f>
        <v>Caixilho fixo em alumínio com pintura eletrostática na cor branca com vidro laminado 8 mm, para fixação em portas de madeira, dimensões 0,24 x 1,95 m</v>
      </c>
      <c r="E359" s="507">
        <f>IFERROR(VLOOKUP(D359,Planilha!$B$10:$AC$943,4,FALSE),0)</f>
        <v>0</v>
      </c>
      <c r="F359" s="508">
        <f>IFERROR(VLOOKUP(E359,Planilha!$B$10:$AC$943,4,FALSE),0)</f>
        <v>0</v>
      </c>
      <c r="G359" s="75" t="str">
        <f>IFERROR(VLOOKUP(B359,Fontes!$A$9:$AC$6124,3,FALSE),0)</f>
        <v>un</v>
      </c>
      <c r="H359" s="76">
        <v>1</v>
      </c>
      <c r="I359" s="77"/>
      <c r="J359" s="77"/>
      <c r="K359" s="77">
        <v>550</v>
      </c>
      <c r="L359" s="77"/>
      <c r="M359" s="77"/>
      <c r="N359" s="78">
        <f t="shared" si="23"/>
        <v>550</v>
      </c>
      <c r="O359" s="58"/>
      <c r="P359" s="18"/>
      <c r="Q359" s="18">
        <f t="shared" si="24"/>
        <v>550</v>
      </c>
      <c r="R359" s="18"/>
      <c r="U359" s="53"/>
      <c r="V359" s="18"/>
    </row>
    <row r="360" spans="1:22" ht="42" customHeight="1" x14ac:dyDescent="0.2">
      <c r="B360" s="83" t="s">
        <v>1355</v>
      </c>
      <c r="C360" s="74">
        <v>24</v>
      </c>
      <c r="D360" s="506" t="str">
        <f>IFERROR(VLOOKUP(B360,Fontes!$A$9:$AC$6124,2,FALSE),0)</f>
        <v>Passarela metálica com estrutura em aço e cobertura em vidro laminado e temperado e= 12 mm, l= 2,19 m conforme projeto de arquitetura</v>
      </c>
      <c r="E360" s="507">
        <f>IFERROR(VLOOKUP(D360,Planilha!$B$10:$AC$943,4,FALSE),0)</f>
        <v>0</v>
      </c>
      <c r="F360" s="508">
        <f>IFERROR(VLOOKUP(E360,Planilha!$B$10:$AC$943,4,FALSE),0)</f>
        <v>0</v>
      </c>
      <c r="G360" s="75" t="str">
        <f>IFERROR(VLOOKUP(B360,Fontes!$A$9:$AC$6124,3,FALSE),0)</f>
        <v>m</v>
      </c>
      <c r="H360" s="76">
        <v>1</v>
      </c>
      <c r="I360" s="77"/>
      <c r="J360" s="77"/>
      <c r="K360" s="77">
        <f>305000/58.2</f>
        <v>5240.549828178694</v>
      </c>
      <c r="L360" s="77"/>
      <c r="M360" s="77"/>
      <c r="N360" s="78">
        <f t="shared" si="23"/>
        <v>5240.549828178694</v>
      </c>
      <c r="O360" s="58"/>
      <c r="P360" s="18"/>
      <c r="Q360" s="18">
        <f t="shared" si="24"/>
        <v>5240.549828178694</v>
      </c>
      <c r="R360" s="18"/>
      <c r="U360" s="53"/>
      <c r="V360" s="18"/>
    </row>
    <row r="361" spans="1:22" ht="42" customHeight="1" x14ac:dyDescent="0.2">
      <c r="B361" s="83" t="s">
        <v>1356</v>
      </c>
      <c r="C361" s="74">
        <v>25</v>
      </c>
      <c r="D361" s="506" t="str">
        <f>IFERROR(VLOOKUP(B361,Fontes!$A$9:$AC$6124,2,FALSE),0)</f>
        <v>Porta simples lisa em chapa de aço com pintura eletrostática na cor cinza claro, completa, dimensões 0,90 x 2,10 m</v>
      </c>
      <c r="E361" s="507">
        <f>IFERROR(VLOOKUP(D361,Planilha!$B$10:$AC$943,4,FALSE),0)</f>
        <v>0</v>
      </c>
      <c r="F361" s="508">
        <f>IFERROR(VLOOKUP(E361,Planilha!$B$10:$AC$943,4,FALSE),0)</f>
        <v>0</v>
      </c>
      <c r="G361" s="75">
        <f>IFERROR(VLOOKUP(B361,Fontes!$A$9:$AC$6124,3,FALSE),0)</f>
        <v>0</v>
      </c>
      <c r="H361" s="76">
        <v>1</v>
      </c>
      <c r="I361" s="77"/>
      <c r="J361" s="77"/>
      <c r="K361" s="77">
        <v>1150</v>
      </c>
      <c r="L361" s="77"/>
      <c r="M361" s="77"/>
      <c r="N361" s="78">
        <f t="shared" ref="N361:N364" si="25">IFERROR(+AVERAGE(I361,J361,K361,L361,M361),0)</f>
        <v>1150</v>
      </c>
      <c r="O361" s="58"/>
      <c r="P361" s="18"/>
      <c r="Q361" s="18">
        <f t="shared" ref="Q361:Q364" si="26">N361</f>
        <v>1150</v>
      </c>
      <c r="R361" s="18"/>
      <c r="U361" s="53"/>
      <c r="V361" s="18"/>
    </row>
    <row r="362" spans="1:22" ht="42" customHeight="1" x14ac:dyDescent="0.2">
      <c r="B362" s="83" t="s">
        <v>1357</v>
      </c>
      <c r="C362" s="74">
        <v>26</v>
      </c>
      <c r="D362" s="506" t="str">
        <f>IFERROR(VLOOKUP(B362,Fontes!$A$9:$AC$6124,2,FALSE),0)</f>
        <v>Porta dupla lisa em chapa de aço com pintura eletrostática na cor cinza claro, completa, dimensões 1,80 x 2,10 m</v>
      </c>
      <c r="E362" s="507">
        <f>IFERROR(VLOOKUP(D362,Planilha!$B$10:$AC$943,4,FALSE),0)</f>
        <v>0</v>
      </c>
      <c r="F362" s="508">
        <f>IFERROR(VLOOKUP(E362,Planilha!$B$10:$AC$943,4,FALSE),0)</f>
        <v>0</v>
      </c>
      <c r="G362" s="75">
        <f>IFERROR(VLOOKUP(B362,Fontes!$A$9:$AC$6124,3,FALSE),0)</f>
        <v>0</v>
      </c>
      <c r="H362" s="76">
        <v>1</v>
      </c>
      <c r="I362" s="77"/>
      <c r="J362" s="77"/>
      <c r="K362" s="77">
        <v>2100</v>
      </c>
      <c r="L362" s="77"/>
      <c r="M362" s="77"/>
      <c r="N362" s="78">
        <f t="shared" si="25"/>
        <v>2100</v>
      </c>
      <c r="O362" s="58"/>
      <c r="P362" s="18"/>
      <c r="Q362" s="18">
        <f t="shared" si="26"/>
        <v>2100</v>
      </c>
      <c r="R362" s="18"/>
      <c r="U362" s="53"/>
      <c r="V362" s="18"/>
    </row>
    <row r="363" spans="1:22" ht="42" customHeight="1" x14ac:dyDescent="0.2">
      <c r="B363" s="83" t="s">
        <v>1358</v>
      </c>
      <c r="C363" s="74">
        <v>27</v>
      </c>
      <c r="D363" s="506" t="str">
        <f>IFERROR(VLOOKUP(B363,Fontes!$A$9:$AC$6124,2,FALSE),0)</f>
        <v>Porta dupla lisa em chapa de aço com pintura eletrostática na cor cinza claro, completa, dimensões 1,60 x 2,10 m</v>
      </c>
      <c r="E363" s="507">
        <f>IFERROR(VLOOKUP(D363,Planilha!$B$10:$AC$943,4,FALSE),0)</f>
        <v>0</v>
      </c>
      <c r="F363" s="508">
        <f>IFERROR(VLOOKUP(E363,Planilha!$B$10:$AC$943,4,FALSE),0)</f>
        <v>0</v>
      </c>
      <c r="G363" s="75">
        <f>IFERROR(VLOOKUP(B363,Fontes!$A$9:$AC$6124,3,FALSE),0)</f>
        <v>0</v>
      </c>
      <c r="H363" s="76">
        <v>1</v>
      </c>
      <c r="I363" s="77"/>
      <c r="J363" s="77"/>
      <c r="K363" s="77">
        <v>1800</v>
      </c>
      <c r="L363" s="77"/>
      <c r="M363" s="77"/>
      <c r="N363" s="78">
        <f t="shared" si="25"/>
        <v>1800</v>
      </c>
      <c r="O363" s="58"/>
      <c r="P363" s="18"/>
      <c r="Q363" s="18">
        <f t="shared" si="26"/>
        <v>1800</v>
      </c>
      <c r="R363" s="18"/>
      <c r="U363" s="53"/>
      <c r="V363" s="18"/>
    </row>
    <row r="364" spans="1:22" ht="42" customHeight="1" x14ac:dyDescent="0.2">
      <c r="B364" s="83" t="s">
        <v>1359</v>
      </c>
      <c r="C364" s="74">
        <v>28</v>
      </c>
      <c r="D364" s="506" t="str">
        <f>IFERROR(VLOOKUP(B364,Fontes!$A$9:$AC$6124,2,FALSE),0)</f>
        <v>Porta simples lisa em chapa de aço com pintura eletrostática na cor cinza claro, completa, dimensões 1,05 x 2,10 m</v>
      </c>
      <c r="E364" s="507">
        <f>IFERROR(VLOOKUP(D364,Planilha!$B$10:$AC$943,4,FALSE),0)</f>
        <v>0</v>
      </c>
      <c r="F364" s="508">
        <f>IFERROR(VLOOKUP(E364,Planilha!$B$10:$AC$943,4,FALSE),0)</f>
        <v>0</v>
      </c>
      <c r="G364" s="75">
        <f>IFERROR(VLOOKUP(B364,Fontes!$A$9:$AC$6124,3,FALSE),0)</f>
        <v>0</v>
      </c>
      <c r="H364" s="76">
        <v>1</v>
      </c>
      <c r="I364" s="77"/>
      <c r="J364" s="77"/>
      <c r="K364" s="77">
        <v>1320</v>
      </c>
      <c r="L364" s="77"/>
      <c r="M364" s="77"/>
      <c r="N364" s="78">
        <f t="shared" si="25"/>
        <v>1320</v>
      </c>
      <c r="O364" s="58"/>
      <c r="P364" s="18"/>
      <c r="Q364" s="18">
        <f t="shared" si="26"/>
        <v>1320</v>
      </c>
      <c r="R364" s="18"/>
      <c r="U364" s="53"/>
      <c r="V364" s="18"/>
    </row>
    <row r="365" spans="1:22" ht="15.75" thickBot="1" x14ac:dyDescent="0.25">
      <c r="C365" s="79"/>
      <c r="D365" s="493"/>
      <c r="E365" s="494"/>
      <c r="F365" s="495"/>
      <c r="G365" s="80"/>
      <c r="H365" s="80"/>
      <c r="I365" s="81"/>
      <c r="J365" s="81"/>
      <c r="K365" s="81"/>
      <c r="L365" s="81"/>
      <c r="M365" s="81"/>
      <c r="N365" s="82"/>
      <c r="O365" s="58"/>
    </row>
    <row r="366" spans="1:22" x14ac:dyDescent="0.2">
      <c r="O366" s="58"/>
    </row>
    <row r="367" spans="1:22" ht="15.75" thickBot="1" x14ac:dyDescent="0.25">
      <c r="O367" s="58"/>
    </row>
    <row r="368" spans="1:22" s="49" customFormat="1" ht="15.75" thickBot="1" x14ac:dyDescent="0.25">
      <c r="A368" s="87"/>
      <c r="B368" s="87"/>
      <c r="C368" s="46" t="s">
        <v>42</v>
      </c>
      <c r="D368" s="47"/>
      <c r="E368" s="47"/>
      <c r="F368" s="47"/>
      <c r="G368" s="47"/>
      <c r="H368" s="48"/>
      <c r="I368" s="48"/>
      <c r="J368" s="48"/>
      <c r="K368" s="48"/>
      <c r="L368" s="48"/>
      <c r="M368" s="48"/>
      <c r="N368" s="48"/>
      <c r="O368" s="58"/>
      <c r="S368" s="50"/>
    </row>
    <row r="369" spans="1:19" s="49" customFormat="1" ht="12.75" x14ac:dyDescent="0.2">
      <c r="A369" s="87"/>
      <c r="B369" s="87"/>
      <c r="C369" s="496" t="s">
        <v>1399</v>
      </c>
      <c r="D369" s="496"/>
      <c r="E369" s="496"/>
      <c r="F369" s="496"/>
      <c r="G369" s="496"/>
      <c r="H369" s="496"/>
      <c r="I369" s="496"/>
      <c r="J369" s="496"/>
      <c r="K369" s="496"/>
      <c r="L369" s="496"/>
      <c r="M369" s="496"/>
      <c r="N369" s="496"/>
      <c r="O369" s="59"/>
      <c r="S369" s="50"/>
    </row>
    <row r="370" spans="1:19" s="49" customFormat="1" ht="12.75" x14ac:dyDescent="0.2">
      <c r="A370" s="87"/>
      <c r="B370" s="87"/>
      <c r="C370" s="497"/>
      <c r="D370" s="497"/>
      <c r="E370" s="497"/>
      <c r="F370" s="497"/>
      <c r="G370" s="497"/>
      <c r="H370" s="497"/>
      <c r="I370" s="497"/>
      <c r="J370" s="497"/>
      <c r="K370" s="497"/>
      <c r="L370" s="497"/>
      <c r="M370" s="497"/>
      <c r="N370" s="497"/>
      <c r="O370" s="59"/>
      <c r="S370" s="50"/>
    </row>
    <row r="371" spans="1:19" s="49" customFormat="1" ht="12.75" x14ac:dyDescent="0.2">
      <c r="A371" s="87"/>
      <c r="B371" s="87"/>
      <c r="C371" s="497"/>
      <c r="D371" s="497"/>
      <c r="E371" s="497"/>
      <c r="F371" s="497"/>
      <c r="G371" s="497"/>
      <c r="H371" s="497"/>
      <c r="I371" s="497"/>
      <c r="J371" s="497"/>
      <c r="K371" s="497"/>
      <c r="L371" s="497"/>
      <c r="M371" s="497"/>
      <c r="N371" s="497"/>
      <c r="O371" s="59"/>
      <c r="S371" s="50"/>
    </row>
    <row r="372" spans="1:19" s="49" customFormat="1" ht="12.75" x14ac:dyDescent="0.2">
      <c r="A372" s="87"/>
      <c r="B372" s="87"/>
      <c r="C372" s="497"/>
      <c r="D372" s="497"/>
      <c r="E372" s="497"/>
      <c r="F372" s="497"/>
      <c r="G372" s="497"/>
      <c r="H372" s="497"/>
      <c r="I372" s="497"/>
      <c r="J372" s="497"/>
      <c r="K372" s="497"/>
      <c r="L372" s="497"/>
      <c r="M372" s="497"/>
      <c r="N372" s="497"/>
      <c r="O372" s="59"/>
      <c r="S372" s="50"/>
    </row>
    <row r="373" spans="1:19" s="49" customFormat="1" ht="13.5" thickBot="1" x14ac:dyDescent="0.25">
      <c r="A373" s="87"/>
      <c r="B373" s="87"/>
      <c r="C373" s="498"/>
      <c r="D373" s="498"/>
      <c r="E373" s="498"/>
      <c r="F373" s="498"/>
      <c r="G373" s="498"/>
      <c r="H373" s="498"/>
      <c r="I373" s="498"/>
      <c r="J373" s="498"/>
      <c r="K373" s="498"/>
      <c r="L373" s="498"/>
      <c r="M373" s="498"/>
      <c r="N373" s="498"/>
      <c r="O373" s="59"/>
      <c r="S373" s="50"/>
    </row>
    <row r="374" spans="1:19" s="10" customFormat="1" ht="12" thickBot="1" x14ac:dyDescent="0.25">
      <c r="C374" s="6"/>
      <c r="D374" s="6"/>
      <c r="E374" s="6"/>
      <c r="F374" s="7"/>
      <c r="G374" s="8"/>
      <c r="H374" s="8"/>
      <c r="I374" s="9"/>
      <c r="N374" s="4"/>
      <c r="O374" s="55"/>
      <c r="S374" s="11"/>
    </row>
    <row r="375" spans="1:19" s="34" customFormat="1" ht="16.5" thickBot="1" x14ac:dyDescent="0.25">
      <c r="A375" s="84"/>
      <c r="B375" s="84"/>
      <c r="C375" s="30">
        <v>11</v>
      </c>
      <c r="D375" s="31" t="s">
        <v>411</v>
      </c>
      <c r="E375" s="32"/>
      <c r="F375" s="32"/>
      <c r="G375" s="32"/>
      <c r="H375" s="32"/>
      <c r="I375" s="32"/>
      <c r="J375" s="32"/>
      <c r="K375" s="32"/>
      <c r="L375" s="32"/>
      <c r="M375" s="32"/>
      <c r="N375" s="33"/>
      <c r="O375" s="56"/>
      <c r="S375" s="35"/>
    </row>
    <row r="376" spans="1:19" s="40" customFormat="1" ht="16.5" customHeight="1" thickBot="1" x14ac:dyDescent="0.25">
      <c r="A376" s="85"/>
      <c r="B376" s="85"/>
      <c r="C376" s="36" t="s">
        <v>781</v>
      </c>
      <c r="D376" s="37" t="s">
        <v>1405</v>
      </c>
      <c r="E376" s="38"/>
      <c r="F376" s="38"/>
      <c r="G376" s="38"/>
      <c r="H376" s="38"/>
      <c r="I376" s="38"/>
      <c r="J376" s="38"/>
      <c r="K376" s="38"/>
      <c r="L376" s="38"/>
      <c r="M376" s="38"/>
      <c r="N376" s="39"/>
      <c r="O376" s="57"/>
      <c r="S376" s="41"/>
    </row>
    <row r="377" spans="1:19" s="10" customFormat="1" ht="11.25" x14ac:dyDescent="0.2">
      <c r="C377" s="6"/>
      <c r="D377" s="6"/>
      <c r="E377" s="6"/>
      <c r="F377" s="7"/>
      <c r="G377" s="8"/>
      <c r="H377" s="8"/>
      <c r="I377" s="9"/>
      <c r="M377" s="4"/>
      <c r="N377" s="5"/>
      <c r="O377" s="55"/>
      <c r="S377" s="11"/>
    </row>
    <row r="378" spans="1:19" ht="18" thickBot="1" x14ac:dyDescent="0.25">
      <c r="C378" s="66" t="s">
        <v>34</v>
      </c>
      <c r="D378" s="537" t="s">
        <v>1407</v>
      </c>
      <c r="E378" s="538"/>
      <c r="F378" s="539"/>
      <c r="G378" s="540" t="s">
        <v>35</v>
      </c>
      <c r="H378" s="541"/>
      <c r="I378" s="42" t="s">
        <v>1408</v>
      </c>
      <c r="J378" s="66" t="s">
        <v>36</v>
      </c>
      <c r="K378" s="542" t="s">
        <v>1409</v>
      </c>
      <c r="L378" s="543"/>
      <c r="M378" s="66" t="s">
        <v>37</v>
      </c>
      <c r="N378" s="43">
        <v>44697</v>
      </c>
      <c r="O378" s="58"/>
    </row>
    <row r="379" spans="1:19" ht="18.75" thickTop="1" thickBot="1" x14ac:dyDescent="0.25">
      <c r="C379" s="66" t="s">
        <v>34</v>
      </c>
      <c r="D379" s="537" t="s">
        <v>1420</v>
      </c>
      <c r="E379" s="538"/>
      <c r="F379" s="539"/>
      <c r="G379" s="540" t="s">
        <v>35</v>
      </c>
      <c r="H379" s="541"/>
      <c r="I379" s="42" t="s">
        <v>1417</v>
      </c>
      <c r="J379" s="66" t="s">
        <v>36</v>
      </c>
      <c r="K379" s="542" t="s">
        <v>1418</v>
      </c>
      <c r="L379" s="543"/>
      <c r="M379" s="66" t="s">
        <v>37</v>
      </c>
      <c r="N379" s="43"/>
      <c r="O379" s="58"/>
    </row>
    <row r="380" spans="1:19" ht="18.75" thickTop="1" thickBot="1" x14ac:dyDescent="0.25">
      <c r="C380" s="66" t="s">
        <v>34</v>
      </c>
      <c r="D380" s="530"/>
      <c r="E380" s="531"/>
      <c r="F380" s="532"/>
      <c r="G380" s="533" t="s">
        <v>35</v>
      </c>
      <c r="H380" s="534"/>
      <c r="I380" s="44"/>
      <c r="J380" s="66" t="s">
        <v>36</v>
      </c>
      <c r="K380" s="535"/>
      <c r="L380" s="536"/>
      <c r="M380" s="66" t="s">
        <v>37</v>
      </c>
      <c r="N380" s="45"/>
      <c r="O380" s="58"/>
    </row>
    <row r="381" spans="1:19" ht="18.75" thickTop="1" thickBot="1" x14ac:dyDescent="0.25">
      <c r="C381" s="66" t="s">
        <v>34</v>
      </c>
      <c r="D381" s="530"/>
      <c r="E381" s="531"/>
      <c r="F381" s="532"/>
      <c r="G381" s="533" t="s">
        <v>35</v>
      </c>
      <c r="H381" s="534"/>
      <c r="I381" s="44"/>
      <c r="J381" s="66" t="s">
        <v>36</v>
      </c>
      <c r="K381" s="535"/>
      <c r="L381" s="536"/>
      <c r="M381" s="66" t="s">
        <v>37</v>
      </c>
      <c r="N381" s="45"/>
      <c r="O381" s="58"/>
    </row>
    <row r="382" spans="1:19" ht="18.75" thickTop="1" thickBot="1" x14ac:dyDescent="0.25">
      <c r="C382" s="66" t="s">
        <v>34</v>
      </c>
      <c r="D382" s="530"/>
      <c r="E382" s="531"/>
      <c r="F382" s="532"/>
      <c r="G382" s="533" t="s">
        <v>35</v>
      </c>
      <c r="H382" s="534"/>
      <c r="I382" s="44"/>
      <c r="J382" s="66" t="s">
        <v>36</v>
      </c>
      <c r="K382" s="535"/>
      <c r="L382" s="536"/>
      <c r="M382" s="66" t="s">
        <v>37</v>
      </c>
      <c r="N382" s="45"/>
      <c r="O382" s="58"/>
    </row>
    <row r="383" spans="1:19" ht="16.5" thickTop="1" thickBot="1" x14ac:dyDescent="0.25">
      <c r="O383" s="58"/>
    </row>
    <row r="384" spans="1:19" ht="15" customHeight="1" x14ac:dyDescent="0.2">
      <c r="C384" s="509" t="s">
        <v>19</v>
      </c>
      <c r="D384" s="499" t="s">
        <v>7</v>
      </c>
      <c r="E384" s="512"/>
      <c r="F384" s="500"/>
      <c r="G384" s="519" t="s">
        <v>30</v>
      </c>
      <c r="H384" s="522" t="s">
        <v>38</v>
      </c>
      <c r="I384" s="261" t="s">
        <v>39</v>
      </c>
      <c r="J384" s="261" t="s">
        <v>39</v>
      </c>
      <c r="K384" s="261" t="s">
        <v>39</v>
      </c>
      <c r="L384" s="261" t="s">
        <v>39</v>
      </c>
      <c r="M384" s="261" t="s">
        <v>39</v>
      </c>
      <c r="N384" s="525" t="s">
        <v>40</v>
      </c>
      <c r="O384" s="58"/>
    </row>
    <row r="385" spans="1:22" x14ac:dyDescent="0.2">
      <c r="C385" s="510"/>
      <c r="D385" s="513"/>
      <c r="E385" s="514"/>
      <c r="F385" s="515"/>
      <c r="G385" s="520"/>
      <c r="H385" s="523"/>
      <c r="I385" s="12" t="str">
        <f>D378</f>
        <v>ALFA</v>
      </c>
      <c r="J385" s="12" t="str">
        <f>D379</f>
        <v>ATLAS</v>
      </c>
      <c r="K385" s="12">
        <f>D380</f>
        <v>0</v>
      </c>
      <c r="L385" s="12">
        <f>D381</f>
        <v>0</v>
      </c>
      <c r="M385" s="12">
        <f>D382</f>
        <v>0</v>
      </c>
      <c r="N385" s="526"/>
      <c r="O385" s="58"/>
    </row>
    <row r="386" spans="1:22" ht="15" customHeight="1" x14ac:dyDescent="0.2">
      <c r="C386" s="510"/>
      <c r="D386" s="513"/>
      <c r="E386" s="514"/>
      <c r="F386" s="515"/>
      <c r="G386" s="520"/>
      <c r="H386" s="523"/>
      <c r="I386" s="528" t="s">
        <v>41</v>
      </c>
      <c r="J386" s="528" t="s">
        <v>41</v>
      </c>
      <c r="K386" s="528" t="s">
        <v>41</v>
      </c>
      <c r="L386" s="528" t="s">
        <v>41</v>
      </c>
      <c r="M386" s="528" t="s">
        <v>41</v>
      </c>
      <c r="N386" s="526"/>
      <c r="O386" s="58"/>
    </row>
    <row r="387" spans="1:22" ht="15.75" thickBot="1" x14ac:dyDescent="0.25">
      <c r="C387" s="511"/>
      <c r="D387" s="516"/>
      <c r="E387" s="517"/>
      <c r="F387" s="518"/>
      <c r="G387" s="521"/>
      <c r="H387" s="524"/>
      <c r="I387" s="529"/>
      <c r="J387" s="529"/>
      <c r="K387" s="529"/>
      <c r="L387" s="529"/>
      <c r="M387" s="529"/>
      <c r="N387" s="527"/>
      <c r="O387" s="58"/>
    </row>
    <row r="388" spans="1:22" ht="15.75" thickBot="1" x14ac:dyDescent="0.25">
      <c r="O388" s="58"/>
      <c r="P388" s="200" t="s">
        <v>79</v>
      </c>
      <c r="Q388" s="200" t="s">
        <v>89</v>
      </c>
      <c r="R388" s="200" t="s">
        <v>90</v>
      </c>
    </row>
    <row r="389" spans="1:22" s="67" customFormat="1" x14ac:dyDescent="0.2">
      <c r="A389" s="86"/>
      <c r="B389" s="86"/>
      <c r="C389" s="68"/>
      <c r="D389" s="503"/>
      <c r="E389" s="504"/>
      <c r="F389" s="505"/>
      <c r="G389" s="69"/>
      <c r="H389" s="69"/>
      <c r="I389" s="70"/>
      <c r="J389" s="70"/>
      <c r="K389" s="70"/>
      <c r="L389" s="70"/>
      <c r="M389" s="70"/>
      <c r="N389" s="71"/>
      <c r="O389" s="72"/>
      <c r="P389" s="53"/>
      <c r="Q389" s="17"/>
      <c r="R389" s="17"/>
      <c r="S389" s="73"/>
    </row>
    <row r="390" spans="1:22" ht="24.95" customHeight="1" x14ac:dyDescent="0.2">
      <c r="B390" s="83" t="s">
        <v>1360</v>
      </c>
      <c r="C390" s="74">
        <v>1</v>
      </c>
      <c r="D390" s="506" t="str">
        <f>IFERROR(VLOOKUP(B390,Fontes!$A$9:$AC$6124,2,FALSE),0)</f>
        <v>Elevador de passageiros sem casa de máquinas, 3 paradas, saída unilateral, com revestimento em aço inox</v>
      </c>
      <c r="E390" s="507">
        <f>IFERROR(VLOOKUP(D390,Planilha!$B$10:$AC$943,4,FALSE),0)</f>
        <v>0</v>
      </c>
      <c r="F390" s="508">
        <f>IFERROR(VLOOKUP(E390,Planilha!$B$10:$AC$943,4,FALSE),0)</f>
        <v>0</v>
      </c>
      <c r="G390" s="75" t="str">
        <f>IFERROR(VLOOKUP(B390,Fontes!$A$9:$AC$6124,3,FALSE),0)</f>
        <v>cj</v>
      </c>
      <c r="H390" s="76">
        <v>1</v>
      </c>
      <c r="I390" s="77">
        <v>210000</v>
      </c>
      <c r="J390" s="77">
        <v>166400</v>
      </c>
      <c r="K390" s="77"/>
      <c r="L390" s="77"/>
      <c r="M390" s="77"/>
      <c r="N390" s="78">
        <f>IFERROR(+AVERAGE(I390,J390,K390,L390,M390),0)</f>
        <v>188200</v>
      </c>
      <c r="O390" s="58"/>
      <c r="P390" s="18"/>
      <c r="Q390" s="18"/>
      <c r="R390" s="18">
        <f>N390</f>
        <v>188200</v>
      </c>
      <c r="U390" s="53"/>
      <c r="V390" s="18"/>
    </row>
    <row r="391" spans="1:22" ht="24.95" customHeight="1" x14ac:dyDescent="0.2">
      <c r="B391" s="83" t="s">
        <v>1361</v>
      </c>
      <c r="C391" s="74">
        <v>2</v>
      </c>
      <c r="D391" s="506" t="str">
        <f>IFERROR(VLOOKUP(B391,Fontes!$A$9:$AC$6124,2,FALSE),0)</f>
        <v>Elevador de carga sem casa de máquinas, capacidade 1500 kg, 3 paradas, saída unilateral, com revestimento em aço inox</v>
      </c>
      <c r="E391" s="507">
        <f>IFERROR(VLOOKUP(D391,Planilha!$B$10:$AC$943,4,FALSE),0)</f>
        <v>0</v>
      </c>
      <c r="F391" s="508">
        <f>IFERROR(VLOOKUP(E391,Planilha!$B$10:$AC$943,4,FALSE),0)</f>
        <v>0</v>
      </c>
      <c r="G391" s="75" t="str">
        <f>IFERROR(VLOOKUP(B391,Fontes!$A$9:$AC$6124,3,FALSE),0)</f>
        <v>cj</v>
      </c>
      <c r="H391" s="76">
        <v>1</v>
      </c>
      <c r="I391" s="77">
        <v>260000</v>
      </c>
      <c r="J391" s="77">
        <v>309750</v>
      </c>
      <c r="K391" s="77"/>
      <c r="L391" s="77"/>
      <c r="M391" s="77"/>
      <c r="N391" s="78">
        <f t="shared" ref="N391:N394" si="27">IFERROR(+AVERAGE(I391,J391,K391,L391,M391),0)</f>
        <v>284875</v>
      </c>
      <c r="O391" s="58"/>
      <c r="P391" s="18"/>
      <c r="Q391" s="18"/>
      <c r="R391" s="18">
        <f>N391</f>
        <v>284875</v>
      </c>
      <c r="U391" s="53"/>
      <c r="V391" s="18"/>
    </row>
    <row r="392" spans="1:22" ht="24.95" customHeight="1" x14ac:dyDescent="0.2">
      <c r="C392" s="74"/>
      <c r="D392" s="506"/>
      <c r="E392" s="507"/>
      <c r="F392" s="508"/>
      <c r="G392" s="75"/>
      <c r="H392" s="76"/>
      <c r="I392" s="77"/>
      <c r="J392" s="77"/>
      <c r="K392" s="77"/>
      <c r="L392" s="77"/>
      <c r="M392" s="77"/>
      <c r="N392" s="78">
        <f t="shared" si="27"/>
        <v>0</v>
      </c>
      <c r="O392" s="58"/>
      <c r="P392" s="18"/>
      <c r="Q392" s="18"/>
      <c r="R392" s="18"/>
      <c r="U392" s="53"/>
      <c r="V392" s="18"/>
    </row>
    <row r="393" spans="1:22" ht="24.95" customHeight="1" x14ac:dyDescent="0.2">
      <c r="C393" s="74"/>
      <c r="D393" s="506"/>
      <c r="E393" s="507"/>
      <c r="F393" s="508"/>
      <c r="G393" s="75"/>
      <c r="H393" s="76"/>
      <c r="I393" s="77"/>
      <c r="J393" s="77"/>
      <c r="K393" s="77"/>
      <c r="L393" s="77"/>
      <c r="M393" s="77"/>
      <c r="N393" s="78">
        <f t="shared" si="27"/>
        <v>0</v>
      </c>
      <c r="O393" s="58"/>
      <c r="P393" s="18"/>
      <c r="Q393" s="18"/>
      <c r="R393" s="18"/>
      <c r="U393" s="53"/>
      <c r="V393" s="18"/>
    </row>
    <row r="394" spans="1:22" ht="24.95" customHeight="1" x14ac:dyDescent="0.2">
      <c r="C394" s="74"/>
      <c r="D394" s="506"/>
      <c r="E394" s="507"/>
      <c r="F394" s="508"/>
      <c r="G394" s="75"/>
      <c r="H394" s="76"/>
      <c r="I394" s="77"/>
      <c r="J394" s="77"/>
      <c r="K394" s="77"/>
      <c r="L394" s="77"/>
      <c r="M394" s="77"/>
      <c r="N394" s="78">
        <f t="shared" si="27"/>
        <v>0</v>
      </c>
      <c r="O394" s="58"/>
      <c r="P394" s="18"/>
      <c r="Q394" s="18"/>
      <c r="R394" s="18"/>
      <c r="U394" s="53"/>
      <c r="V394" s="18"/>
    </row>
    <row r="395" spans="1:22" ht="15.75" thickBot="1" x14ac:dyDescent="0.25">
      <c r="C395" s="79"/>
      <c r="D395" s="493"/>
      <c r="E395" s="494"/>
      <c r="F395" s="495"/>
      <c r="G395" s="80"/>
      <c r="H395" s="80"/>
      <c r="I395" s="81"/>
      <c r="J395" s="81"/>
      <c r="K395" s="81"/>
      <c r="L395" s="81"/>
      <c r="M395" s="81"/>
      <c r="N395" s="82"/>
      <c r="O395" s="58"/>
    </row>
    <row r="396" spans="1:22" x14ac:dyDescent="0.2">
      <c r="O396" s="58"/>
    </row>
    <row r="397" spans="1:22" ht="15.75" thickBot="1" x14ac:dyDescent="0.25">
      <c r="O397" s="58"/>
    </row>
    <row r="398" spans="1:22" s="49" customFormat="1" ht="15.75" thickBot="1" x14ac:dyDescent="0.25">
      <c r="A398" s="87"/>
      <c r="B398" s="87"/>
      <c r="C398" s="46" t="s">
        <v>42</v>
      </c>
      <c r="D398" s="47"/>
      <c r="E398" s="47"/>
      <c r="F398" s="47"/>
      <c r="G398" s="47"/>
      <c r="H398" s="48"/>
      <c r="I398" s="48"/>
      <c r="J398" s="48"/>
      <c r="K398" s="48"/>
      <c r="L398" s="48"/>
      <c r="M398" s="48"/>
      <c r="N398" s="48"/>
      <c r="O398" s="58"/>
      <c r="S398" s="50"/>
    </row>
    <row r="399" spans="1:22" s="49" customFormat="1" ht="12.75" x14ac:dyDescent="0.2">
      <c r="A399" s="87"/>
      <c r="B399" s="87"/>
      <c r="C399" s="496"/>
      <c r="D399" s="496"/>
      <c r="E399" s="496"/>
      <c r="F399" s="496"/>
      <c r="G399" s="496"/>
      <c r="H399" s="496"/>
      <c r="I399" s="496"/>
      <c r="J399" s="496"/>
      <c r="K399" s="496"/>
      <c r="L399" s="496"/>
      <c r="M399" s="496"/>
      <c r="N399" s="496"/>
      <c r="O399" s="59"/>
      <c r="S399" s="50"/>
    </row>
    <row r="400" spans="1:22" s="49" customFormat="1" ht="12.75" x14ac:dyDescent="0.2">
      <c r="A400" s="87"/>
      <c r="B400" s="87"/>
      <c r="C400" s="497"/>
      <c r="D400" s="497"/>
      <c r="E400" s="497"/>
      <c r="F400" s="497"/>
      <c r="G400" s="497"/>
      <c r="H400" s="497"/>
      <c r="I400" s="497"/>
      <c r="J400" s="497"/>
      <c r="K400" s="497"/>
      <c r="L400" s="497"/>
      <c r="M400" s="497"/>
      <c r="N400" s="497"/>
      <c r="O400" s="59"/>
      <c r="S400" s="50"/>
    </row>
    <row r="401" spans="1:19" s="49" customFormat="1" ht="12.75" x14ac:dyDescent="0.2">
      <c r="A401" s="87"/>
      <c r="B401" s="87"/>
      <c r="C401" s="497"/>
      <c r="D401" s="497"/>
      <c r="E401" s="497"/>
      <c r="F401" s="497"/>
      <c r="G401" s="497"/>
      <c r="H401" s="497"/>
      <c r="I401" s="497"/>
      <c r="J401" s="497"/>
      <c r="K401" s="497"/>
      <c r="L401" s="497"/>
      <c r="M401" s="497"/>
      <c r="N401" s="497"/>
      <c r="O401" s="59"/>
      <c r="S401" s="50"/>
    </row>
    <row r="402" spans="1:19" s="49" customFormat="1" ht="12.75" x14ac:dyDescent="0.2">
      <c r="A402" s="87"/>
      <c r="B402" s="87"/>
      <c r="C402" s="497"/>
      <c r="D402" s="497"/>
      <c r="E402" s="497"/>
      <c r="F402" s="497"/>
      <c r="G402" s="497"/>
      <c r="H402" s="497"/>
      <c r="I402" s="497"/>
      <c r="J402" s="497"/>
      <c r="K402" s="497"/>
      <c r="L402" s="497"/>
      <c r="M402" s="497"/>
      <c r="N402" s="497"/>
      <c r="O402" s="59"/>
      <c r="S402" s="50"/>
    </row>
    <row r="403" spans="1:19" s="49" customFormat="1" ht="13.5" thickBot="1" x14ac:dyDescent="0.25">
      <c r="A403" s="87"/>
      <c r="B403" s="87"/>
      <c r="C403" s="498"/>
      <c r="D403" s="498"/>
      <c r="E403" s="498"/>
      <c r="F403" s="498"/>
      <c r="G403" s="498"/>
      <c r="H403" s="498"/>
      <c r="I403" s="498"/>
      <c r="J403" s="498"/>
      <c r="K403" s="498"/>
      <c r="L403" s="498"/>
      <c r="M403" s="498"/>
      <c r="N403" s="498"/>
      <c r="O403" s="59"/>
      <c r="S403" s="50"/>
    </row>
    <row r="404" spans="1:19" s="10" customFormat="1" ht="12" thickBot="1" x14ac:dyDescent="0.25">
      <c r="C404" s="6"/>
      <c r="D404" s="6"/>
      <c r="E404" s="6"/>
      <c r="F404" s="7"/>
      <c r="G404" s="8"/>
      <c r="H404" s="8"/>
      <c r="I404" s="9"/>
      <c r="N404" s="4"/>
      <c r="O404" s="55"/>
      <c r="S404" s="11"/>
    </row>
    <row r="405" spans="1:19" s="34" customFormat="1" ht="16.5" thickBot="1" x14ac:dyDescent="0.25">
      <c r="A405" s="84"/>
      <c r="B405" s="84"/>
      <c r="C405" s="30">
        <v>11</v>
      </c>
      <c r="D405" s="31" t="s">
        <v>1178</v>
      </c>
      <c r="E405" s="32"/>
      <c r="F405" s="32"/>
      <c r="G405" s="32"/>
      <c r="H405" s="32"/>
      <c r="I405" s="32"/>
      <c r="J405" s="32"/>
      <c r="K405" s="32"/>
      <c r="L405" s="32"/>
      <c r="M405" s="32"/>
      <c r="N405" s="33"/>
      <c r="O405" s="56"/>
      <c r="S405" s="35"/>
    </row>
    <row r="406" spans="1:19" s="40" customFormat="1" ht="16.5" customHeight="1" thickBot="1" x14ac:dyDescent="0.25">
      <c r="A406" s="85"/>
      <c r="B406" s="85"/>
      <c r="C406" s="36" t="s">
        <v>781</v>
      </c>
      <c r="D406" s="37" t="s">
        <v>1416</v>
      </c>
      <c r="E406" s="38"/>
      <c r="F406" s="38"/>
      <c r="G406" s="38"/>
      <c r="H406" s="38"/>
      <c r="I406" s="38"/>
      <c r="J406" s="38"/>
      <c r="K406" s="38"/>
      <c r="L406" s="38"/>
      <c r="M406" s="38"/>
      <c r="N406" s="39"/>
      <c r="O406" s="57"/>
      <c r="S406" s="41"/>
    </row>
    <row r="407" spans="1:19" s="10" customFormat="1" ht="11.25" x14ac:dyDescent="0.2">
      <c r="C407" s="6"/>
      <c r="D407" s="6"/>
      <c r="E407" s="6"/>
      <c r="F407" s="7"/>
      <c r="G407" s="8"/>
      <c r="H407" s="8"/>
      <c r="I407" s="9"/>
      <c r="M407" s="4"/>
      <c r="N407" s="5"/>
      <c r="O407" s="55"/>
      <c r="S407" s="11"/>
    </row>
    <row r="408" spans="1:19" ht="18" thickBot="1" x14ac:dyDescent="0.25">
      <c r="C408" s="66" t="s">
        <v>34</v>
      </c>
      <c r="D408" s="537" t="s">
        <v>1421</v>
      </c>
      <c r="E408" s="538"/>
      <c r="F408" s="539"/>
      <c r="G408" s="540" t="s">
        <v>35</v>
      </c>
      <c r="H408" s="541"/>
      <c r="I408" s="42" t="s">
        <v>1422</v>
      </c>
      <c r="J408" s="66" t="s">
        <v>36</v>
      </c>
      <c r="K408" s="542" t="s">
        <v>1423</v>
      </c>
      <c r="L408" s="543"/>
      <c r="M408" s="66" t="s">
        <v>37</v>
      </c>
      <c r="N408" s="43">
        <v>44686</v>
      </c>
      <c r="O408" s="58"/>
    </row>
    <row r="409" spans="1:19" ht="18.75" thickTop="1" thickBot="1" x14ac:dyDescent="0.25">
      <c r="C409" s="66" t="s">
        <v>34</v>
      </c>
      <c r="D409" s="537" t="s">
        <v>1424</v>
      </c>
      <c r="E409" s="538"/>
      <c r="F409" s="539"/>
      <c r="G409" s="540" t="s">
        <v>35</v>
      </c>
      <c r="H409" s="541"/>
      <c r="I409" s="42" t="s">
        <v>1426</v>
      </c>
      <c r="J409" s="66" t="s">
        <v>36</v>
      </c>
      <c r="K409" s="542" t="s">
        <v>1425</v>
      </c>
      <c r="L409" s="543"/>
      <c r="M409" s="66" t="s">
        <v>37</v>
      </c>
      <c r="N409" s="43">
        <v>44706</v>
      </c>
      <c r="O409" s="58"/>
    </row>
    <row r="410" spans="1:19" ht="18.75" thickTop="1" thickBot="1" x14ac:dyDescent="0.25">
      <c r="C410" s="66" t="s">
        <v>34</v>
      </c>
      <c r="D410" s="530" t="s">
        <v>1427</v>
      </c>
      <c r="E410" s="531"/>
      <c r="F410" s="532"/>
      <c r="G410" s="533" t="s">
        <v>35</v>
      </c>
      <c r="H410" s="534"/>
      <c r="I410" s="44" t="s">
        <v>1428</v>
      </c>
      <c r="J410" s="66" t="s">
        <v>36</v>
      </c>
      <c r="K410" s="535" t="s">
        <v>1429</v>
      </c>
      <c r="L410" s="536"/>
      <c r="M410" s="66" t="s">
        <v>37</v>
      </c>
      <c r="N410" s="45">
        <v>44697</v>
      </c>
      <c r="O410" s="58"/>
    </row>
    <row r="411" spans="1:19" ht="18.75" thickTop="1" thickBot="1" x14ac:dyDescent="0.25">
      <c r="C411" s="66" t="s">
        <v>34</v>
      </c>
      <c r="D411" s="530"/>
      <c r="E411" s="531"/>
      <c r="F411" s="532"/>
      <c r="G411" s="533" t="s">
        <v>35</v>
      </c>
      <c r="H411" s="534"/>
      <c r="I411" s="44"/>
      <c r="J411" s="66" t="s">
        <v>36</v>
      </c>
      <c r="K411" s="535"/>
      <c r="L411" s="536"/>
      <c r="M411" s="66" t="s">
        <v>37</v>
      </c>
      <c r="N411" s="45"/>
      <c r="O411" s="58"/>
    </row>
    <row r="412" spans="1:19" ht="18.75" thickTop="1" thickBot="1" x14ac:dyDescent="0.25">
      <c r="C412" s="66" t="s">
        <v>34</v>
      </c>
      <c r="D412" s="530"/>
      <c r="E412" s="531"/>
      <c r="F412" s="532"/>
      <c r="G412" s="533" t="s">
        <v>35</v>
      </c>
      <c r="H412" s="534"/>
      <c r="I412" s="44"/>
      <c r="J412" s="66" t="s">
        <v>36</v>
      </c>
      <c r="K412" s="535"/>
      <c r="L412" s="536"/>
      <c r="M412" s="66" t="s">
        <v>37</v>
      </c>
      <c r="N412" s="45"/>
      <c r="O412" s="58"/>
    </row>
    <row r="413" spans="1:19" ht="16.5" thickTop="1" thickBot="1" x14ac:dyDescent="0.25">
      <c r="O413" s="58"/>
    </row>
    <row r="414" spans="1:19" ht="15" customHeight="1" x14ac:dyDescent="0.2">
      <c r="C414" s="509" t="s">
        <v>19</v>
      </c>
      <c r="D414" s="499" t="s">
        <v>7</v>
      </c>
      <c r="E414" s="512"/>
      <c r="F414" s="500"/>
      <c r="G414" s="519" t="s">
        <v>30</v>
      </c>
      <c r="H414" s="522" t="s">
        <v>38</v>
      </c>
      <c r="I414" s="261" t="s">
        <v>39</v>
      </c>
      <c r="J414" s="261" t="s">
        <v>39</v>
      </c>
      <c r="K414" s="261" t="s">
        <v>39</v>
      </c>
      <c r="L414" s="261" t="s">
        <v>39</v>
      </c>
      <c r="M414" s="261" t="s">
        <v>39</v>
      </c>
      <c r="N414" s="525" t="s">
        <v>40</v>
      </c>
      <c r="O414" s="58"/>
    </row>
    <row r="415" spans="1:19" x14ac:dyDescent="0.2">
      <c r="C415" s="510"/>
      <c r="D415" s="513"/>
      <c r="E415" s="514"/>
      <c r="F415" s="515"/>
      <c r="G415" s="520"/>
      <c r="H415" s="523"/>
      <c r="I415" s="12" t="str">
        <f>D408</f>
        <v>MONSTELL</v>
      </c>
      <c r="J415" s="12" t="str">
        <f>D409</f>
        <v>FERROBRAN</v>
      </c>
      <c r="K415" s="12" t="str">
        <f>D410</f>
        <v>LEMARG</v>
      </c>
      <c r="L415" s="12">
        <f>D411</f>
        <v>0</v>
      </c>
      <c r="M415" s="12">
        <f>D412</f>
        <v>0</v>
      </c>
      <c r="N415" s="526"/>
      <c r="O415" s="58"/>
    </row>
    <row r="416" spans="1:19" ht="15" customHeight="1" x14ac:dyDescent="0.2">
      <c r="C416" s="510"/>
      <c r="D416" s="513"/>
      <c r="E416" s="514"/>
      <c r="F416" s="515"/>
      <c r="G416" s="520"/>
      <c r="H416" s="523"/>
      <c r="I416" s="528" t="s">
        <v>41</v>
      </c>
      <c r="J416" s="528" t="s">
        <v>41</v>
      </c>
      <c r="K416" s="528" t="s">
        <v>41</v>
      </c>
      <c r="L416" s="528" t="s">
        <v>41</v>
      </c>
      <c r="M416" s="528" t="s">
        <v>41</v>
      </c>
      <c r="N416" s="526"/>
      <c r="O416" s="58"/>
    </row>
    <row r="417" spans="1:22" ht="15.75" thickBot="1" x14ac:dyDescent="0.25">
      <c r="C417" s="511"/>
      <c r="D417" s="516"/>
      <c r="E417" s="517"/>
      <c r="F417" s="518"/>
      <c r="G417" s="521"/>
      <c r="H417" s="524"/>
      <c r="I417" s="529"/>
      <c r="J417" s="529"/>
      <c r="K417" s="529"/>
      <c r="L417" s="529"/>
      <c r="M417" s="529"/>
      <c r="N417" s="527"/>
      <c r="O417" s="58"/>
    </row>
    <row r="418" spans="1:22" ht="15.75" thickBot="1" x14ac:dyDescent="0.25">
      <c r="O418" s="58"/>
      <c r="P418" s="200" t="s">
        <v>79</v>
      </c>
      <c r="Q418" s="200" t="s">
        <v>89</v>
      </c>
      <c r="R418" s="200" t="s">
        <v>90</v>
      </c>
    </row>
    <row r="419" spans="1:22" s="67" customFormat="1" x14ac:dyDescent="0.2">
      <c r="A419" s="86"/>
      <c r="B419" s="86"/>
      <c r="C419" s="68"/>
      <c r="D419" s="503"/>
      <c r="E419" s="504"/>
      <c r="F419" s="505"/>
      <c r="G419" s="69"/>
      <c r="H419" s="69"/>
      <c r="I419" s="70"/>
      <c r="J419" s="70"/>
      <c r="K419" s="70"/>
      <c r="L419" s="70"/>
      <c r="M419" s="70"/>
      <c r="N419" s="71"/>
      <c r="O419" s="72"/>
      <c r="P419" s="53"/>
      <c r="Q419" s="17"/>
      <c r="R419" s="17"/>
      <c r="S419" s="73"/>
    </row>
    <row r="420" spans="1:22" ht="57.75" customHeight="1" x14ac:dyDescent="0.2">
      <c r="B420" s="83" t="s">
        <v>1362</v>
      </c>
      <c r="C420" s="74">
        <v>1</v>
      </c>
      <c r="D420" s="506" t="str">
        <f>IFERROR(VLOOKUP(B420,Fontes!$A$9:$AC$6124,2,FALSE),0)</f>
        <v>Fornecimento e montagem de estrutura metálica em chapas e perfis soldados ASTM A36, perfis laminados ASTM A572, perfis em chapa dobrada civil 300, parafusos ASTM A325 e A307, incluso grades de piso eletrofundidas, jateamento com granalha de aço e aplicação de fundo epóxi dupla função e acabamento em pintura epóxi</v>
      </c>
      <c r="E420" s="507">
        <f>IFERROR(VLOOKUP(D420,Planilha!$B$10:$AC$943,4,FALSE),0)</f>
        <v>0</v>
      </c>
      <c r="F420" s="508">
        <f>IFERROR(VLOOKUP(E420,Planilha!$B$10:$AC$943,4,FALSE),0)</f>
        <v>0</v>
      </c>
      <c r="G420" s="75" t="str">
        <f>IFERROR(VLOOKUP(B420,Fontes!$A$9:$AC$6124,3,FALSE),0)</f>
        <v>kg</v>
      </c>
      <c r="H420" s="76">
        <v>1</v>
      </c>
      <c r="I420" s="77">
        <v>39.9</v>
      </c>
      <c r="J420" s="77">
        <f>596807/19854.41</f>
        <v>30.05916569668905</v>
      </c>
      <c r="K420" s="77">
        <f>397140/(12789.26+4222.25)</f>
        <v>23.345370281650478</v>
      </c>
      <c r="L420" s="77"/>
      <c r="M420" s="77"/>
      <c r="N420" s="78">
        <f>IFERROR(+AVERAGE(J420,K420,L420,M420),0)</f>
        <v>26.702267989169762</v>
      </c>
      <c r="O420" s="58"/>
      <c r="P420" s="18"/>
      <c r="Q420" s="18">
        <f>N420</f>
        <v>26.702267989169762</v>
      </c>
      <c r="R420" s="18"/>
      <c r="U420" s="53"/>
      <c r="V420" s="18"/>
    </row>
    <row r="421" spans="1:22" ht="24.95" customHeight="1" x14ac:dyDescent="0.2">
      <c r="B421" s="83" t="s">
        <v>1363</v>
      </c>
      <c r="C421" s="74">
        <v>2</v>
      </c>
      <c r="D421" s="506" t="str">
        <f>IFERROR(VLOOKUP(B421,Fontes!$A$9:$AC$6124,2,FALSE),0)</f>
        <v>Grade eletrofundida em placas 1386 x 3000x 25 mm modelo E-42A da Metalgrade ou equivalente</v>
      </c>
      <c r="E421" s="507">
        <f>IFERROR(VLOOKUP(D421,Planilha!$B$10:$AC$943,4,FALSE),0)</f>
        <v>0</v>
      </c>
      <c r="F421" s="508">
        <f>IFERROR(VLOOKUP(E421,Planilha!$B$10:$AC$943,4,FALSE),0)</f>
        <v>0</v>
      </c>
      <c r="G421" s="75" t="str">
        <f>IFERROR(VLOOKUP(B421,Fontes!$A$9:$AC$6124,3,FALSE),0)</f>
        <v>m2</v>
      </c>
      <c r="H421" s="76">
        <v>1</v>
      </c>
      <c r="I421" s="77">
        <f>76893.18/52</f>
        <v>1478.7149999999999</v>
      </c>
      <c r="J421" s="278" t="s">
        <v>257</v>
      </c>
      <c r="K421" s="278" t="s">
        <v>257</v>
      </c>
      <c r="L421" s="77"/>
      <c r="M421" s="77"/>
      <c r="N421" s="78">
        <f t="shared" ref="N421:N424" si="28">IFERROR(+AVERAGE(I421,J421,K421,L421,M421),0)</f>
        <v>1478.7149999999999</v>
      </c>
      <c r="O421" s="58"/>
      <c r="P421" s="18"/>
      <c r="Q421" s="18">
        <f>N421</f>
        <v>1478.7149999999999</v>
      </c>
      <c r="R421" s="18"/>
      <c r="U421" s="53"/>
      <c r="V421" s="18"/>
    </row>
    <row r="422" spans="1:22" ht="24.95" customHeight="1" x14ac:dyDescent="0.2">
      <c r="C422" s="74"/>
      <c r="D422" s="506"/>
      <c r="E422" s="507"/>
      <c r="F422" s="508"/>
      <c r="G422" s="75"/>
      <c r="H422" s="76"/>
      <c r="I422" s="77"/>
      <c r="J422" s="77"/>
      <c r="K422" s="77"/>
      <c r="L422" s="77"/>
      <c r="M422" s="77"/>
      <c r="N422" s="78">
        <f t="shared" si="28"/>
        <v>0</v>
      </c>
      <c r="O422" s="58"/>
      <c r="P422" s="18"/>
      <c r="Q422" s="18"/>
      <c r="R422" s="18"/>
      <c r="U422" s="53"/>
      <c r="V422" s="18"/>
    </row>
    <row r="423" spans="1:22" ht="24.95" customHeight="1" x14ac:dyDescent="0.2">
      <c r="C423" s="74"/>
      <c r="D423" s="506"/>
      <c r="E423" s="507"/>
      <c r="F423" s="508"/>
      <c r="G423" s="75"/>
      <c r="H423" s="76"/>
      <c r="I423" s="77"/>
      <c r="J423" s="77"/>
      <c r="K423" s="77"/>
      <c r="L423" s="77"/>
      <c r="M423" s="77"/>
      <c r="N423" s="78">
        <f t="shared" si="28"/>
        <v>0</v>
      </c>
      <c r="O423" s="58"/>
      <c r="P423" s="18"/>
      <c r="Q423" s="18"/>
      <c r="R423" s="18"/>
      <c r="U423" s="53"/>
      <c r="V423" s="18"/>
    </row>
    <row r="424" spans="1:22" ht="24.95" customHeight="1" x14ac:dyDescent="0.2">
      <c r="C424" s="74"/>
      <c r="D424" s="506"/>
      <c r="E424" s="507"/>
      <c r="F424" s="508"/>
      <c r="G424" s="75"/>
      <c r="H424" s="76"/>
      <c r="I424" s="77"/>
      <c r="J424" s="77"/>
      <c r="K424" s="77"/>
      <c r="L424" s="77"/>
      <c r="M424" s="77"/>
      <c r="N424" s="78">
        <f t="shared" si="28"/>
        <v>0</v>
      </c>
      <c r="O424" s="58"/>
      <c r="P424" s="18"/>
      <c r="Q424" s="18"/>
      <c r="R424" s="18"/>
      <c r="U424" s="53"/>
      <c r="V424" s="18"/>
    </row>
    <row r="425" spans="1:22" ht="15.75" thickBot="1" x14ac:dyDescent="0.25">
      <c r="C425" s="79"/>
      <c r="D425" s="493"/>
      <c r="E425" s="494"/>
      <c r="F425" s="495"/>
      <c r="G425" s="80"/>
      <c r="H425" s="80"/>
      <c r="I425" s="81"/>
      <c r="J425" s="81"/>
      <c r="K425" s="81"/>
      <c r="L425" s="81"/>
      <c r="M425" s="81"/>
      <c r="N425" s="82"/>
      <c r="O425" s="58"/>
    </row>
    <row r="426" spans="1:22" x14ac:dyDescent="0.2">
      <c r="O426" s="58"/>
    </row>
    <row r="427" spans="1:22" ht="15.75" thickBot="1" x14ac:dyDescent="0.25">
      <c r="O427" s="58"/>
    </row>
    <row r="428" spans="1:22" s="49" customFormat="1" ht="15.75" thickBot="1" x14ac:dyDescent="0.25">
      <c r="A428" s="87"/>
      <c r="B428" s="87"/>
      <c r="C428" s="46" t="s">
        <v>42</v>
      </c>
      <c r="D428" s="47"/>
      <c r="E428" s="47"/>
      <c r="F428" s="47"/>
      <c r="G428" s="47"/>
      <c r="H428" s="48"/>
      <c r="I428" s="48"/>
      <c r="J428" s="48"/>
      <c r="K428" s="48"/>
      <c r="L428" s="48"/>
      <c r="M428" s="48"/>
      <c r="N428" s="48"/>
      <c r="O428" s="58"/>
      <c r="S428" s="50"/>
    </row>
    <row r="429" spans="1:22" s="49" customFormat="1" ht="12.75" x14ac:dyDescent="0.2">
      <c r="A429" s="87"/>
      <c r="B429" s="87"/>
      <c r="C429" s="496" t="s">
        <v>1430</v>
      </c>
      <c r="D429" s="496"/>
      <c r="E429" s="496"/>
      <c r="F429" s="496"/>
      <c r="G429" s="496"/>
      <c r="H429" s="496"/>
      <c r="I429" s="496"/>
      <c r="J429" s="496"/>
      <c r="K429" s="496"/>
      <c r="L429" s="496"/>
      <c r="M429" s="496"/>
      <c r="N429" s="496"/>
      <c r="O429" s="59"/>
      <c r="S429" s="50"/>
    </row>
    <row r="430" spans="1:22" s="49" customFormat="1" ht="12.75" x14ac:dyDescent="0.2">
      <c r="A430" s="87"/>
      <c r="B430" s="87"/>
      <c r="C430" s="497"/>
      <c r="D430" s="497"/>
      <c r="E430" s="497"/>
      <c r="F430" s="497"/>
      <c r="G430" s="497"/>
      <c r="H430" s="497"/>
      <c r="I430" s="497"/>
      <c r="J430" s="497"/>
      <c r="K430" s="497"/>
      <c r="L430" s="497"/>
      <c r="M430" s="497"/>
      <c r="N430" s="497"/>
      <c r="O430" s="59"/>
      <c r="S430" s="50"/>
    </row>
    <row r="431" spans="1:22" s="49" customFormat="1" ht="12.75" x14ac:dyDescent="0.2">
      <c r="A431" s="87"/>
      <c r="B431" s="87"/>
      <c r="C431" s="497"/>
      <c r="D431" s="497"/>
      <c r="E431" s="497"/>
      <c r="F431" s="497"/>
      <c r="G431" s="497"/>
      <c r="H431" s="497"/>
      <c r="I431" s="497"/>
      <c r="J431" s="497"/>
      <c r="K431" s="497"/>
      <c r="L431" s="497"/>
      <c r="M431" s="497"/>
      <c r="N431" s="497"/>
      <c r="O431" s="59"/>
      <c r="S431" s="50"/>
    </row>
    <row r="432" spans="1:22" s="49" customFormat="1" ht="12.75" x14ac:dyDescent="0.2">
      <c r="A432" s="87"/>
      <c r="B432" s="87"/>
      <c r="C432" s="497"/>
      <c r="D432" s="497"/>
      <c r="E432" s="497"/>
      <c r="F432" s="497"/>
      <c r="G432" s="497"/>
      <c r="H432" s="497"/>
      <c r="I432" s="497"/>
      <c r="J432" s="497"/>
      <c r="K432" s="497"/>
      <c r="L432" s="497"/>
      <c r="M432" s="497"/>
      <c r="N432" s="497"/>
      <c r="O432" s="59"/>
      <c r="S432" s="50"/>
    </row>
    <row r="433" spans="1:19" s="49" customFormat="1" ht="13.5" thickBot="1" x14ac:dyDescent="0.25">
      <c r="A433" s="87"/>
      <c r="B433" s="87"/>
      <c r="C433" s="498"/>
      <c r="D433" s="498"/>
      <c r="E433" s="498"/>
      <c r="F433" s="498"/>
      <c r="G433" s="498"/>
      <c r="H433" s="498"/>
      <c r="I433" s="498"/>
      <c r="J433" s="498"/>
      <c r="K433" s="498"/>
      <c r="L433" s="498"/>
      <c r="M433" s="498"/>
      <c r="N433" s="498"/>
      <c r="O433" s="59"/>
      <c r="S433" s="50"/>
    </row>
    <row r="434" spans="1:19" s="10" customFormat="1" ht="12" thickBot="1" x14ac:dyDescent="0.25">
      <c r="C434" s="6"/>
      <c r="D434" s="6"/>
      <c r="E434" s="6"/>
      <c r="F434" s="7"/>
      <c r="G434" s="8"/>
      <c r="H434" s="8"/>
      <c r="I434" s="9"/>
      <c r="N434" s="4"/>
      <c r="O434" s="55"/>
      <c r="S434" s="11"/>
    </row>
    <row r="435" spans="1:19" s="34" customFormat="1" ht="16.5" thickBot="1" x14ac:dyDescent="0.25">
      <c r="A435" s="84"/>
      <c r="B435" s="84"/>
      <c r="C435" s="30">
        <v>12</v>
      </c>
      <c r="D435" s="31" t="s">
        <v>65</v>
      </c>
      <c r="E435" s="32"/>
      <c r="F435" s="32"/>
      <c r="G435" s="32"/>
      <c r="H435" s="32"/>
      <c r="I435" s="32"/>
      <c r="J435" s="32"/>
      <c r="K435" s="32"/>
      <c r="L435" s="32"/>
      <c r="M435" s="32"/>
      <c r="N435" s="33"/>
      <c r="O435" s="56"/>
      <c r="S435" s="35"/>
    </row>
    <row r="436" spans="1:19" s="40" customFormat="1" ht="16.5" customHeight="1" thickBot="1" x14ac:dyDescent="0.25">
      <c r="A436" s="85"/>
      <c r="B436" s="85"/>
      <c r="C436" s="36" t="s">
        <v>824</v>
      </c>
      <c r="D436" s="37" t="s">
        <v>1433</v>
      </c>
      <c r="E436" s="38"/>
      <c r="F436" s="38"/>
      <c r="G436" s="38"/>
      <c r="H436" s="38"/>
      <c r="I436" s="38"/>
      <c r="J436" s="38"/>
      <c r="K436" s="38"/>
      <c r="L436" s="38"/>
      <c r="M436" s="38"/>
      <c r="N436" s="39"/>
      <c r="O436" s="57"/>
      <c r="S436" s="41"/>
    </row>
    <row r="437" spans="1:19" s="10" customFormat="1" ht="11.25" x14ac:dyDescent="0.2">
      <c r="C437" s="6"/>
      <c r="D437" s="6"/>
      <c r="E437" s="6"/>
      <c r="F437" s="7"/>
      <c r="G437" s="8"/>
      <c r="H437" s="8"/>
      <c r="I437" s="9"/>
      <c r="M437" s="4"/>
      <c r="N437" s="5"/>
      <c r="O437" s="55"/>
      <c r="S437" s="11"/>
    </row>
    <row r="438" spans="1:19" ht="18" thickBot="1" x14ac:dyDescent="0.25">
      <c r="C438" s="66" t="s">
        <v>34</v>
      </c>
      <c r="D438" s="537" t="s">
        <v>1436</v>
      </c>
      <c r="E438" s="538"/>
      <c r="F438" s="539"/>
      <c r="G438" s="540" t="s">
        <v>35</v>
      </c>
      <c r="H438" s="541"/>
      <c r="I438" s="42" t="s">
        <v>1437</v>
      </c>
      <c r="J438" s="66" t="s">
        <v>36</v>
      </c>
      <c r="K438" s="542" t="s">
        <v>1438</v>
      </c>
      <c r="L438" s="543"/>
      <c r="M438" s="66" t="s">
        <v>37</v>
      </c>
      <c r="N438" s="43">
        <v>44705</v>
      </c>
      <c r="O438" s="58"/>
    </row>
    <row r="439" spans="1:19" ht="18.75" thickTop="1" thickBot="1" x14ac:dyDescent="0.25">
      <c r="C439" s="66" t="s">
        <v>34</v>
      </c>
      <c r="D439" s="537" t="s">
        <v>1439</v>
      </c>
      <c r="E439" s="538"/>
      <c r="F439" s="539"/>
      <c r="G439" s="540" t="s">
        <v>35</v>
      </c>
      <c r="H439" s="541"/>
      <c r="I439" s="42" t="s">
        <v>1441</v>
      </c>
      <c r="J439" s="66" t="s">
        <v>36</v>
      </c>
      <c r="K439" s="542" t="s">
        <v>1440</v>
      </c>
      <c r="L439" s="543"/>
      <c r="M439" s="66" t="s">
        <v>37</v>
      </c>
      <c r="N439" s="43">
        <v>44690</v>
      </c>
      <c r="O439" s="58"/>
    </row>
    <row r="440" spans="1:19" ht="18.75" thickTop="1" thickBot="1" x14ac:dyDescent="0.25">
      <c r="C440" s="66" t="s">
        <v>34</v>
      </c>
      <c r="D440" s="530" t="s">
        <v>1443</v>
      </c>
      <c r="E440" s="531"/>
      <c r="F440" s="532"/>
      <c r="G440" s="533" t="s">
        <v>35</v>
      </c>
      <c r="H440" s="534"/>
      <c r="I440" s="44" t="s">
        <v>217</v>
      </c>
      <c r="J440" s="66" t="s">
        <v>36</v>
      </c>
      <c r="K440" s="535" t="s">
        <v>1444</v>
      </c>
      <c r="L440" s="536"/>
      <c r="M440" s="66" t="s">
        <v>37</v>
      </c>
      <c r="N440" s="45">
        <v>44691</v>
      </c>
      <c r="O440" s="58"/>
    </row>
    <row r="441" spans="1:19" ht="18.75" thickTop="1" thickBot="1" x14ac:dyDescent="0.25">
      <c r="C441" s="66" t="s">
        <v>34</v>
      </c>
      <c r="D441" s="530"/>
      <c r="E441" s="531"/>
      <c r="F441" s="532"/>
      <c r="G441" s="533" t="s">
        <v>35</v>
      </c>
      <c r="H441" s="534"/>
      <c r="I441" s="44"/>
      <c r="J441" s="66" t="s">
        <v>36</v>
      </c>
      <c r="K441" s="535"/>
      <c r="L441" s="536"/>
      <c r="M441" s="66" t="s">
        <v>37</v>
      </c>
      <c r="N441" s="45"/>
      <c r="O441" s="58"/>
    </row>
    <row r="442" spans="1:19" ht="18.75" thickTop="1" thickBot="1" x14ac:dyDescent="0.25">
      <c r="C442" s="66" t="s">
        <v>34</v>
      </c>
      <c r="D442" s="530"/>
      <c r="E442" s="531"/>
      <c r="F442" s="532"/>
      <c r="G442" s="533" t="s">
        <v>35</v>
      </c>
      <c r="H442" s="534"/>
      <c r="I442" s="44"/>
      <c r="J442" s="66" t="s">
        <v>36</v>
      </c>
      <c r="K442" s="535"/>
      <c r="L442" s="536"/>
      <c r="M442" s="66" t="s">
        <v>37</v>
      </c>
      <c r="N442" s="45"/>
      <c r="O442" s="58"/>
    </row>
    <row r="443" spans="1:19" ht="16.5" thickTop="1" thickBot="1" x14ac:dyDescent="0.25">
      <c r="O443" s="58"/>
    </row>
    <row r="444" spans="1:19" ht="15" customHeight="1" x14ac:dyDescent="0.2">
      <c r="C444" s="509" t="s">
        <v>19</v>
      </c>
      <c r="D444" s="499" t="s">
        <v>7</v>
      </c>
      <c r="E444" s="512"/>
      <c r="F444" s="500"/>
      <c r="G444" s="519" t="s">
        <v>30</v>
      </c>
      <c r="H444" s="522" t="s">
        <v>38</v>
      </c>
      <c r="I444" s="261" t="s">
        <v>39</v>
      </c>
      <c r="J444" s="261" t="s">
        <v>39</v>
      </c>
      <c r="K444" s="261" t="s">
        <v>39</v>
      </c>
      <c r="L444" s="261" t="s">
        <v>39</v>
      </c>
      <c r="M444" s="261" t="s">
        <v>39</v>
      </c>
      <c r="N444" s="525" t="s">
        <v>40</v>
      </c>
      <c r="O444" s="58"/>
    </row>
    <row r="445" spans="1:19" x14ac:dyDescent="0.2">
      <c r="C445" s="510"/>
      <c r="D445" s="513"/>
      <c r="E445" s="514"/>
      <c r="F445" s="515"/>
      <c r="G445" s="520"/>
      <c r="H445" s="523"/>
      <c r="I445" s="12" t="str">
        <f>D438</f>
        <v>REMASTER</v>
      </c>
      <c r="J445" s="12" t="str">
        <f>D439</f>
        <v>PISOAG</v>
      </c>
      <c r="K445" s="12" t="str">
        <f>D440</f>
        <v>ALCANCE</v>
      </c>
      <c r="L445" s="12">
        <f>D441</f>
        <v>0</v>
      </c>
      <c r="M445" s="12">
        <f>D442</f>
        <v>0</v>
      </c>
      <c r="N445" s="526"/>
      <c r="O445" s="58"/>
    </row>
    <row r="446" spans="1:19" ht="15" customHeight="1" x14ac:dyDescent="0.2">
      <c r="C446" s="510"/>
      <c r="D446" s="513"/>
      <c r="E446" s="514"/>
      <c r="F446" s="515"/>
      <c r="G446" s="520"/>
      <c r="H446" s="523"/>
      <c r="I446" s="528" t="s">
        <v>41</v>
      </c>
      <c r="J446" s="528" t="s">
        <v>41</v>
      </c>
      <c r="K446" s="528" t="s">
        <v>41</v>
      </c>
      <c r="L446" s="528" t="s">
        <v>41</v>
      </c>
      <c r="M446" s="528" t="s">
        <v>41</v>
      </c>
      <c r="N446" s="526"/>
      <c r="O446" s="58"/>
    </row>
    <row r="447" spans="1:19" ht="15.75" thickBot="1" x14ac:dyDescent="0.25">
      <c r="C447" s="511"/>
      <c r="D447" s="516"/>
      <c r="E447" s="517"/>
      <c r="F447" s="518"/>
      <c r="G447" s="521"/>
      <c r="H447" s="524"/>
      <c r="I447" s="529"/>
      <c r="J447" s="529"/>
      <c r="K447" s="529"/>
      <c r="L447" s="529"/>
      <c r="M447" s="529"/>
      <c r="N447" s="527"/>
      <c r="O447" s="58"/>
    </row>
    <row r="448" spans="1:19" ht="15.75" thickBot="1" x14ac:dyDescent="0.25">
      <c r="O448" s="58"/>
      <c r="P448" s="200" t="s">
        <v>79</v>
      </c>
      <c r="Q448" s="200" t="s">
        <v>89</v>
      </c>
      <c r="R448" s="200" t="s">
        <v>90</v>
      </c>
    </row>
    <row r="449" spans="1:22" s="67" customFormat="1" x14ac:dyDescent="0.2">
      <c r="A449" s="86"/>
      <c r="B449" s="86"/>
      <c r="C449" s="68"/>
      <c r="D449" s="503"/>
      <c r="E449" s="504"/>
      <c r="F449" s="505"/>
      <c r="G449" s="69"/>
      <c r="H449" s="69"/>
      <c r="I449" s="70"/>
      <c r="J449" s="70"/>
      <c r="K449" s="70"/>
      <c r="L449" s="70"/>
      <c r="M449" s="70"/>
      <c r="N449" s="71"/>
      <c r="O449" s="72"/>
      <c r="P449" s="53"/>
      <c r="Q449" s="17"/>
      <c r="R449" s="17"/>
      <c r="S449" s="73"/>
    </row>
    <row r="450" spans="1:22" ht="43.5" customHeight="1" x14ac:dyDescent="0.2">
      <c r="B450" s="83" t="s">
        <v>1364</v>
      </c>
      <c r="C450" s="74">
        <v>1</v>
      </c>
      <c r="D450" s="506" t="str">
        <f>IFERROR(VLOOKUP(B450,Fontes!$A$9:$AC$6124,2,FALSE),0)</f>
        <v>Piso elevado de aço com preenchimento em concreto celular revestido com placa vinílica 60x60 cm referências Remaster (piso elevado) eTarkett THRU 9205691 (vinílico) ou equivalentes</v>
      </c>
      <c r="E450" s="507">
        <f>IFERROR(VLOOKUP(D450,Planilha!$B$10:$AC$943,4,FALSE),0)</f>
        <v>0</v>
      </c>
      <c r="F450" s="508">
        <f>IFERROR(VLOOKUP(E450,Planilha!$B$10:$AC$943,4,FALSE),0)</f>
        <v>0</v>
      </c>
      <c r="G450" s="75" t="str">
        <f>IFERROR(VLOOKUP(B450,Fontes!$A$9:$AC$6124,3,FALSE),0)</f>
        <v>m2</v>
      </c>
      <c r="H450" s="76">
        <v>1</v>
      </c>
      <c r="I450" s="77">
        <f>359792.9/665</f>
        <v>541.04195488721803</v>
      </c>
      <c r="J450" s="77">
        <f>(481720.75/905)</f>
        <v>532.28812154696129</v>
      </c>
      <c r="K450" s="77">
        <f>569000/905</f>
        <v>628.72928176795585</v>
      </c>
      <c r="L450" s="77"/>
      <c r="M450" s="77"/>
      <c r="N450" s="78">
        <f>IFERROR(+AVERAGE(I450,J450,K450,L450,M450),0)</f>
        <v>567.35311940071176</v>
      </c>
      <c r="O450" s="58"/>
      <c r="P450" s="18">
        <f>N454</f>
        <v>34.071546739777624</v>
      </c>
      <c r="Q450" s="18">
        <f>N450-P450</f>
        <v>533.2815726609341</v>
      </c>
      <c r="R450" s="18"/>
      <c r="U450" s="53"/>
      <c r="V450" s="18"/>
    </row>
    <row r="451" spans="1:22" ht="24.95" customHeight="1" x14ac:dyDescent="0.2">
      <c r="B451" s="83" t="s">
        <v>1365</v>
      </c>
      <c r="C451" s="74">
        <v>2</v>
      </c>
      <c r="D451" s="506" t="str">
        <f>IFERROR(VLOOKUP(B451,Fontes!$A$9:$AC$6124,2,FALSE),0)</f>
        <v>Piso elevado com sistema de apoio plástico revestido com placa de concreto e= 40 mm com tratamento em resina acrílica 60x60 cm referência Stone ou equivalente</v>
      </c>
      <c r="E451" s="507">
        <f>IFERROR(VLOOKUP(D451,Planilha!$B$10:$AC$943,4,FALSE),0)</f>
        <v>0</v>
      </c>
      <c r="F451" s="508">
        <f>IFERROR(VLOOKUP(E451,Planilha!$B$10:$AC$943,4,FALSE),0)</f>
        <v>0</v>
      </c>
      <c r="G451" s="75" t="str">
        <f>IFERROR(VLOOKUP(B451,Fontes!$A$9:$AC$6124,3,FALSE),0)</f>
        <v>m2</v>
      </c>
      <c r="H451" s="76">
        <v>1</v>
      </c>
      <c r="I451" s="77">
        <f>(157854/226)</f>
        <v>698.46902654867256</v>
      </c>
      <c r="J451" s="278" t="s">
        <v>1442</v>
      </c>
      <c r="K451" s="278"/>
      <c r="L451" s="77"/>
      <c r="M451" s="77"/>
      <c r="N451" s="78">
        <f>IFERROR(+AVERAGE(I451,J451,K451,L451,M451),0)</f>
        <v>698.46902654867256</v>
      </c>
      <c r="O451" s="58"/>
      <c r="P451" s="18">
        <f>P450</f>
        <v>34.071546739777624</v>
      </c>
      <c r="Q451" s="18">
        <f t="shared" ref="Q451:Q452" si="29">N451-P451</f>
        <v>664.3974798088949</v>
      </c>
      <c r="R451" s="18"/>
      <c r="U451" s="53"/>
      <c r="V451" s="18"/>
    </row>
    <row r="452" spans="1:22" ht="24.95" customHeight="1" x14ac:dyDescent="0.2">
      <c r="B452" s="83" t="s">
        <v>1366</v>
      </c>
      <c r="C452" s="74">
        <v>3</v>
      </c>
      <c r="D452" s="506" t="str">
        <f>IFERROR(VLOOKUP(B452,Fontes!$A$9:$AC$6124,2,FALSE),0)</f>
        <v>Rampa em placas de aço revestida com borracha pastilhada na cor preta</v>
      </c>
      <c r="E452" s="507">
        <f>IFERROR(VLOOKUP(D452,Planilha!$B$10:$AC$943,4,FALSE),0)</f>
        <v>0</v>
      </c>
      <c r="F452" s="508">
        <f>IFERROR(VLOOKUP(E452,Planilha!$B$10:$AC$943,4,FALSE),0)</f>
        <v>0</v>
      </c>
      <c r="G452" s="75" t="str">
        <f>IFERROR(VLOOKUP(B452,Fontes!$A$9:$AC$6124,3,FALSE),0)</f>
        <v>m2</v>
      </c>
      <c r="H452" s="76">
        <v>1</v>
      </c>
      <c r="I452" s="77"/>
      <c r="J452" s="278">
        <v>612.20000000000005</v>
      </c>
      <c r="K452" s="278"/>
      <c r="L452" s="77"/>
      <c r="M452" s="77"/>
      <c r="N452" s="78">
        <f>IFERROR(+AVERAGE(I452,J452,K452,L452,M452),0)</f>
        <v>612.20000000000005</v>
      </c>
      <c r="O452" s="58"/>
      <c r="P452" s="18"/>
      <c r="Q452" s="18">
        <f t="shared" si="29"/>
        <v>612.20000000000005</v>
      </c>
      <c r="R452" s="18"/>
      <c r="U452" s="53"/>
      <c r="V452" s="18"/>
    </row>
    <row r="453" spans="1:22" ht="24.95" customHeight="1" x14ac:dyDescent="0.2">
      <c r="C453" s="74"/>
      <c r="D453" s="506" t="s">
        <v>1445</v>
      </c>
      <c r="E453" s="507"/>
      <c r="F453" s="508"/>
      <c r="G453" s="75"/>
      <c r="H453" s="76"/>
      <c r="I453" s="77"/>
      <c r="J453" s="77"/>
      <c r="K453" s="77"/>
      <c r="L453" s="77"/>
      <c r="M453" s="77"/>
      <c r="N453" s="78">
        <f t="shared" ref="N453:N455" si="30">IFERROR(+AVERAGE(I453,J453,K453,L453,M453),0)</f>
        <v>0</v>
      </c>
      <c r="O453" s="58"/>
      <c r="P453" s="18"/>
      <c r="Q453" s="18"/>
      <c r="R453" s="18"/>
      <c r="U453" s="53"/>
      <c r="V453" s="18"/>
    </row>
    <row r="454" spans="1:22" ht="24.95" customHeight="1" x14ac:dyDescent="0.2">
      <c r="C454" s="74">
        <v>1</v>
      </c>
      <c r="D454" s="506"/>
      <c r="E454" s="507"/>
      <c r="F454" s="508"/>
      <c r="G454" s="75"/>
      <c r="H454" s="76"/>
      <c r="I454" s="77">
        <f>(21280+4216.32)/665</f>
        <v>38.340330827067667</v>
      </c>
      <c r="J454" s="77">
        <f>18.6+17.65</f>
        <v>36.25</v>
      </c>
      <c r="K454" s="77">
        <f>(9600+15400)/905</f>
        <v>27.624309392265193</v>
      </c>
      <c r="L454" s="77"/>
      <c r="M454" s="77"/>
      <c r="N454" s="78">
        <f t="shared" si="30"/>
        <v>34.071546739777624</v>
      </c>
      <c r="O454" s="58"/>
      <c r="P454" s="18"/>
      <c r="Q454" s="18"/>
      <c r="R454" s="18"/>
      <c r="U454" s="53"/>
      <c r="V454" s="18"/>
    </row>
    <row r="455" spans="1:22" ht="24.95" customHeight="1" x14ac:dyDescent="0.2">
      <c r="C455" s="74">
        <v>2</v>
      </c>
      <c r="D455" s="506"/>
      <c r="E455" s="507"/>
      <c r="F455" s="508"/>
      <c r="G455" s="75"/>
      <c r="H455" s="76"/>
      <c r="I455" s="77"/>
      <c r="J455" s="77"/>
      <c r="K455" s="77"/>
      <c r="L455" s="77"/>
      <c r="M455" s="77"/>
      <c r="N455" s="78">
        <f t="shared" si="30"/>
        <v>0</v>
      </c>
      <c r="O455" s="58"/>
      <c r="P455" s="18"/>
      <c r="Q455" s="18"/>
      <c r="R455" s="18"/>
      <c r="U455" s="53"/>
      <c r="V455" s="18"/>
    </row>
    <row r="456" spans="1:22" ht="15.75" thickBot="1" x14ac:dyDescent="0.25">
      <c r="C456" s="79"/>
      <c r="D456" s="493"/>
      <c r="E456" s="494"/>
      <c r="F456" s="495"/>
      <c r="G456" s="80"/>
      <c r="H456" s="80"/>
      <c r="I456" s="81"/>
      <c r="J456" s="81"/>
      <c r="K456" s="81"/>
      <c r="L456" s="81"/>
      <c r="M456" s="81"/>
      <c r="N456" s="82"/>
      <c r="O456" s="58"/>
    </row>
    <row r="457" spans="1:22" x14ac:dyDescent="0.2">
      <c r="O457" s="58"/>
    </row>
    <row r="458" spans="1:22" ht="15.75" thickBot="1" x14ac:dyDescent="0.25">
      <c r="O458" s="58"/>
    </row>
    <row r="459" spans="1:22" s="49" customFormat="1" ht="15.75" thickBot="1" x14ac:dyDescent="0.25">
      <c r="A459" s="87"/>
      <c r="B459" s="87"/>
      <c r="C459" s="46" t="s">
        <v>42</v>
      </c>
      <c r="D459" s="47"/>
      <c r="E459" s="47"/>
      <c r="F459" s="47"/>
      <c r="G459" s="47"/>
      <c r="H459" s="48"/>
      <c r="I459" s="48"/>
      <c r="J459" s="48"/>
      <c r="K459" s="48"/>
      <c r="L459" s="48"/>
      <c r="M459" s="48"/>
      <c r="N459" s="48"/>
      <c r="O459" s="58"/>
      <c r="S459" s="50"/>
    </row>
    <row r="460" spans="1:22" s="49" customFormat="1" ht="12.75" x14ac:dyDescent="0.2">
      <c r="A460" s="87"/>
      <c r="B460" s="87"/>
      <c r="C460" s="496"/>
      <c r="D460" s="496"/>
      <c r="E460" s="496"/>
      <c r="F460" s="496"/>
      <c r="G460" s="496"/>
      <c r="H460" s="496"/>
      <c r="I460" s="496"/>
      <c r="J460" s="496"/>
      <c r="K460" s="496"/>
      <c r="L460" s="496"/>
      <c r="M460" s="496"/>
      <c r="N460" s="496"/>
      <c r="O460" s="59"/>
      <c r="S460" s="50"/>
    </row>
    <row r="461" spans="1:22" s="49" customFormat="1" ht="12.75" x14ac:dyDescent="0.2">
      <c r="A461" s="87"/>
      <c r="B461" s="87"/>
      <c r="C461" s="497"/>
      <c r="D461" s="497"/>
      <c r="E461" s="497"/>
      <c r="F461" s="497"/>
      <c r="G461" s="497"/>
      <c r="H461" s="497"/>
      <c r="I461" s="497"/>
      <c r="J461" s="497"/>
      <c r="K461" s="497"/>
      <c r="L461" s="497"/>
      <c r="M461" s="497"/>
      <c r="N461" s="497"/>
      <c r="O461" s="59"/>
      <c r="S461" s="50"/>
    </row>
    <row r="462" spans="1:22" s="49" customFormat="1" ht="12.75" x14ac:dyDescent="0.2">
      <c r="A462" s="87"/>
      <c r="B462" s="87"/>
      <c r="C462" s="497"/>
      <c r="D462" s="497"/>
      <c r="E462" s="497"/>
      <c r="F462" s="497"/>
      <c r="G462" s="497"/>
      <c r="H462" s="497"/>
      <c r="I462" s="497"/>
      <c r="J462" s="497"/>
      <c r="K462" s="497"/>
      <c r="L462" s="497"/>
      <c r="M462" s="497"/>
      <c r="N462" s="497"/>
      <c r="O462" s="59"/>
      <c r="S462" s="50"/>
    </row>
    <row r="463" spans="1:22" s="49" customFormat="1" ht="12.75" x14ac:dyDescent="0.2">
      <c r="A463" s="87"/>
      <c r="B463" s="87"/>
      <c r="C463" s="497"/>
      <c r="D463" s="497"/>
      <c r="E463" s="497"/>
      <c r="F463" s="497"/>
      <c r="G463" s="497"/>
      <c r="H463" s="497"/>
      <c r="I463" s="497"/>
      <c r="J463" s="497"/>
      <c r="K463" s="497"/>
      <c r="L463" s="497"/>
      <c r="M463" s="497"/>
      <c r="N463" s="497"/>
      <c r="O463" s="59"/>
      <c r="S463" s="50"/>
    </row>
    <row r="464" spans="1:22" s="49" customFormat="1" ht="13.5" thickBot="1" x14ac:dyDescent="0.25">
      <c r="A464" s="87"/>
      <c r="B464" s="87"/>
      <c r="C464" s="498"/>
      <c r="D464" s="498"/>
      <c r="E464" s="498"/>
      <c r="F464" s="498"/>
      <c r="G464" s="498"/>
      <c r="H464" s="498"/>
      <c r="I464" s="498"/>
      <c r="J464" s="498"/>
      <c r="K464" s="498"/>
      <c r="L464" s="498"/>
      <c r="M464" s="498"/>
      <c r="N464" s="498"/>
      <c r="O464" s="59"/>
      <c r="S464" s="50"/>
    </row>
    <row r="465" spans="1:19" s="10" customFormat="1" ht="12" thickBot="1" x14ac:dyDescent="0.25">
      <c r="C465" s="6"/>
      <c r="D465" s="6"/>
      <c r="E465" s="6"/>
      <c r="F465" s="7"/>
      <c r="G465" s="8"/>
      <c r="H465" s="8"/>
      <c r="I465" s="9"/>
      <c r="N465" s="4"/>
      <c r="O465" s="55"/>
      <c r="S465" s="11"/>
    </row>
    <row r="466" spans="1:19" s="34" customFormat="1" ht="16.5" thickBot="1" x14ac:dyDescent="0.25">
      <c r="A466" s="84"/>
      <c r="B466" s="84"/>
      <c r="C466" s="30">
        <v>13</v>
      </c>
      <c r="D466" s="31" t="s">
        <v>65</v>
      </c>
      <c r="E466" s="32"/>
      <c r="F466" s="32"/>
      <c r="G466" s="32"/>
      <c r="H466" s="32"/>
      <c r="I466" s="32"/>
      <c r="J466" s="32"/>
      <c r="K466" s="32"/>
      <c r="L466" s="32"/>
      <c r="M466" s="32"/>
      <c r="N466" s="33"/>
      <c r="O466" s="56"/>
      <c r="S466" s="35"/>
    </row>
    <row r="467" spans="1:19" s="40" customFormat="1" ht="16.5" customHeight="1" thickBot="1" x14ac:dyDescent="0.25">
      <c r="A467" s="85"/>
      <c r="B467" s="85"/>
      <c r="C467" s="36" t="s">
        <v>889</v>
      </c>
      <c r="D467" s="37" t="s">
        <v>1450</v>
      </c>
      <c r="E467" s="38"/>
      <c r="F467" s="38"/>
      <c r="G467" s="38"/>
      <c r="H467" s="38"/>
      <c r="I467" s="38"/>
      <c r="J467" s="38"/>
      <c r="K467" s="38"/>
      <c r="L467" s="38"/>
      <c r="M467" s="38"/>
      <c r="N467" s="39"/>
      <c r="O467" s="57"/>
      <c r="S467" s="41"/>
    </row>
    <row r="468" spans="1:19" s="10" customFormat="1" ht="11.25" x14ac:dyDescent="0.2">
      <c r="C468" s="6"/>
      <c r="D468" s="6"/>
      <c r="E468" s="6"/>
      <c r="F468" s="7"/>
      <c r="G468" s="8"/>
      <c r="H468" s="8"/>
      <c r="I468" s="9"/>
      <c r="M468" s="4"/>
      <c r="N468" s="5"/>
      <c r="O468" s="55"/>
      <c r="S468" s="11"/>
    </row>
    <row r="469" spans="1:19" ht="18" thickBot="1" x14ac:dyDescent="0.25">
      <c r="C469" s="66" t="s">
        <v>34</v>
      </c>
      <c r="D469" s="537" t="s">
        <v>1451</v>
      </c>
      <c r="E469" s="538"/>
      <c r="F469" s="539"/>
      <c r="G469" s="540" t="s">
        <v>35</v>
      </c>
      <c r="H469" s="541"/>
      <c r="I469" s="42" t="s">
        <v>1453</v>
      </c>
      <c r="J469" s="66" t="s">
        <v>36</v>
      </c>
      <c r="K469" s="542" t="s">
        <v>1452</v>
      </c>
      <c r="L469" s="543"/>
      <c r="M469" s="66" t="s">
        <v>37</v>
      </c>
      <c r="N469" s="43">
        <v>44691</v>
      </c>
      <c r="O469" s="58"/>
    </row>
    <row r="470" spans="1:19" ht="18.75" thickTop="1" thickBot="1" x14ac:dyDescent="0.25">
      <c r="C470" s="66" t="s">
        <v>34</v>
      </c>
      <c r="D470" s="537" t="s">
        <v>1454</v>
      </c>
      <c r="E470" s="538"/>
      <c r="F470" s="539"/>
      <c r="G470" s="540" t="s">
        <v>35</v>
      </c>
      <c r="H470" s="541"/>
      <c r="I470" s="42" t="s">
        <v>1455</v>
      </c>
      <c r="J470" s="66" t="s">
        <v>36</v>
      </c>
      <c r="K470" s="542" t="s">
        <v>1456</v>
      </c>
      <c r="L470" s="543"/>
      <c r="M470" s="66" t="s">
        <v>37</v>
      </c>
      <c r="N470" s="43">
        <v>44704</v>
      </c>
      <c r="O470" s="58"/>
    </row>
    <row r="471" spans="1:19" ht="18.75" thickTop="1" thickBot="1" x14ac:dyDescent="0.25">
      <c r="C471" s="66" t="s">
        <v>34</v>
      </c>
      <c r="D471" s="530" t="s">
        <v>1457</v>
      </c>
      <c r="E471" s="531"/>
      <c r="F471" s="532"/>
      <c r="G471" s="533" t="s">
        <v>35</v>
      </c>
      <c r="H471" s="534"/>
      <c r="I471" s="44" t="s">
        <v>1459</v>
      </c>
      <c r="J471" s="66" t="s">
        <v>36</v>
      </c>
      <c r="K471" s="535" t="s">
        <v>1458</v>
      </c>
      <c r="L471" s="536"/>
      <c r="M471" s="66" t="s">
        <v>37</v>
      </c>
      <c r="N471" s="45">
        <v>44701</v>
      </c>
      <c r="O471" s="58"/>
    </row>
    <row r="472" spans="1:19" ht="18.75" thickTop="1" thickBot="1" x14ac:dyDescent="0.25">
      <c r="C472" s="66" t="s">
        <v>34</v>
      </c>
      <c r="D472" s="530"/>
      <c r="E472" s="531"/>
      <c r="F472" s="532"/>
      <c r="G472" s="533" t="s">
        <v>35</v>
      </c>
      <c r="H472" s="534"/>
      <c r="I472" s="44"/>
      <c r="J472" s="66" t="s">
        <v>36</v>
      </c>
      <c r="K472" s="535"/>
      <c r="L472" s="536"/>
      <c r="M472" s="66" t="s">
        <v>37</v>
      </c>
      <c r="N472" s="45"/>
      <c r="O472" s="58"/>
    </row>
    <row r="473" spans="1:19" ht="18.75" thickTop="1" thickBot="1" x14ac:dyDescent="0.25">
      <c r="C473" s="66" t="s">
        <v>34</v>
      </c>
      <c r="D473" s="530"/>
      <c r="E473" s="531"/>
      <c r="F473" s="532"/>
      <c r="G473" s="533" t="s">
        <v>35</v>
      </c>
      <c r="H473" s="534"/>
      <c r="I473" s="44"/>
      <c r="J473" s="66" t="s">
        <v>36</v>
      </c>
      <c r="K473" s="535"/>
      <c r="L473" s="536"/>
      <c r="M473" s="66" t="s">
        <v>37</v>
      </c>
      <c r="N473" s="45"/>
      <c r="O473" s="58"/>
    </row>
    <row r="474" spans="1:19" ht="16.5" thickTop="1" thickBot="1" x14ac:dyDescent="0.25">
      <c r="O474" s="58"/>
    </row>
    <row r="475" spans="1:19" ht="15" customHeight="1" x14ac:dyDescent="0.2">
      <c r="C475" s="509" t="s">
        <v>19</v>
      </c>
      <c r="D475" s="499" t="s">
        <v>7</v>
      </c>
      <c r="E475" s="512"/>
      <c r="F475" s="500"/>
      <c r="G475" s="519" t="s">
        <v>30</v>
      </c>
      <c r="H475" s="522" t="s">
        <v>38</v>
      </c>
      <c r="I475" s="261" t="s">
        <v>39</v>
      </c>
      <c r="J475" s="261" t="s">
        <v>39</v>
      </c>
      <c r="K475" s="261" t="s">
        <v>39</v>
      </c>
      <c r="L475" s="261" t="s">
        <v>39</v>
      </c>
      <c r="M475" s="261" t="s">
        <v>39</v>
      </c>
      <c r="N475" s="525" t="s">
        <v>40</v>
      </c>
      <c r="O475" s="58"/>
    </row>
    <row r="476" spans="1:19" x14ac:dyDescent="0.2">
      <c r="C476" s="510"/>
      <c r="D476" s="513"/>
      <c r="E476" s="514"/>
      <c r="F476" s="515"/>
      <c r="G476" s="520"/>
      <c r="H476" s="523"/>
      <c r="I476" s="12" t="str">
        <f>D469</f>
        <v>POLIPISO</v>
      </c>
      <c r="J476" s="12" t="str">
        <f>D470</f>
        <v>PRIMER PISOS</v>
      </c>
      <c r="K476" s="12" t="str">
        <f>D471</f>
        <v>MGPX</v>
      </c>
      <c r="L476" s="12">
        <f>D472</f>
        <v>0</v>
      </c>
      <c r="M476" s="12">
        <f>D473</f>
        <v>0</v>
      </c>
      <c r="N476" s="526"/>
      <c r="O476" s="58"/>
    </row>
    <row r="477" spans="1:19" ht="15" customHeight="1" x14ac:dyDescent="0.2">
      <c r="C477" s="510"/>
      <c r="D477" s="513"/>
      <c r="E477" s="514"/>
      <c r="F477" s="515"/>
      <c r="G477" s="520"/>
      <c r="H477" s="523"/>
      <c r="I477" s="528" t="s">
        <v>41</v>
      </c>
      <c r="J477" s="528" t="s">
        <v>41</v>
      </c>
      <c r="K477" s="528" t="s">
        <v>41</v>
      </c>
      <c r="L477" s="528" t="s">
        <v>41</v>
      </c>
      <c r="M477" s="528" t="s">
        <v>41</v>
      </c>
      <c r="N477" s="526"/>
      <c r="O477" s="58"/>
    </row>
    <row r="478" spans="1:19" ht="15.75" thickBot="1" x14ac:dyDescent="0.25">
      <c r="C478" s="511"/>
      <c r="D478" s="516"/>
      <c r="E478" s="517"/>
      <c r="F478" s="518"/>
      <c r="G478" s="521"/>
      <c r="H478" s="524"/>
      <c r="I478" s="529"/>
      <c r="J478" s="529"/>
      <c r="K478" s="529"/>
      <c r="L478" s="529"/>
      <c r="M478" s="529"/>
      <c r="N478" s="527"/>
      <c r="O478" s="58"/>
    </row>
    <row r="479" spans="1:19" ht="15.75" thickBot="1" x14ac:dyDescent="0.25">
      <c r="O479" s="58"/>
      <c r="P479" s="200" t="s">
        <v>79</v>
      </c>
      <c r="Q479" s="200" t="s">
        <v>89</v>
      </c>
      <c r="R479" s="200" t="s">
        <v>90</v>
      </c>
    </row>
    <row r="480" spans="1:19" s="67" customFormat="1" x14ac:dyDescent="0.2">
      <c r="A480" s="86"/>
      <c r="B480" s="86"/>
      <c r="C480" s="68"/>
      <c r="D480" s="503"/>
      <c r="E480" s="504"/>
      <c r="F480" s="505"/>
      <c r="G480" s="69"/>
      <c r="H480" s="69"/>
      <c r="I480" s="70"/>
      <c r="J480" s="70"/>
      <c r="K480" s="70"/>
      <c r="L480" s="70"/>
      <c r="M480" s="70"/>
      <c r="N480" s="71"/>
      <c r="O480" s="72"/>
      <c r="P480" s="53"/>
      <c r="Q480" s="17"/>
      <c r="R480" s="17"/>
      <c r="S480" s="73"/>
    </row>
    <row r="481" spans="1:22" ht="33" customHeight="1" x14ac:dyDescent="0.2">
      <c r="B481" s="83" t="s">
        <v>1367</v>
      </c>
      <c r="C481" s="74">
        <v>1</v>
      </c>
      <c r="D481" s="506" t="str">
        <f>IFERROR(VLOOKUP(B481,Fontes!$A$9:$AC$6124,2,FALSE),0)</f>
        <v>Revestimento multilayer a base de resina epoxídica bicomponente impermeável na cor branca, espessura 3 mm</v>
      </c>
      <c r="E481" s="507">
        <f>IFERROR(VLOOKUP(D481,Planilha!$B$10:$AC$943,4,FALSE),0)</f>
        <v>0</v>
      </c>
      <c r="F481" s="508">
        <f>IFERROR(VLOOKUP(E481,Planilha!$B$10:$AC$943,4,FALSE),0)</f>
        <v>0</v>
      </c>
      <c r="G481" s="75" t="str">
        <f>IFERROR(VLOOKUP(B481,Fontes!$A$9:$AC$6124,3,FALSE),0)</f>
        <v>m2</v>
      </c>
      <c r="H481" s="76">
        <v>1</v>
      </c>
      <c r="I481" s="77">
        <f>34008.79/261</f>
        <v>130.30187739463602</v>
      </c>
      <c r="J481" s="77">
        <v>85</v>
      </c>
      <c r="K481" s="77">
        <v>66.36</v>
      </c>
      <c r="L481" s="77"/>
      <c r="M481" s="77"/>
      <c r="N481" s="78">
        <f>IFERROR(+AVERAGE(I481,J481,K481,L481,M481),0)</f>
        <v>93.887292464878669</v>
      </c>
      <c r="O481" s="58"/>
      <c r="P481" s="18">
        <f>N485</f>
        <v>44.45</v>
      </c>
      <c r="Q481" s="18">
        <f>N481-P481</f>
        <v>49.437292464878666</v>
      </c>
      <c r="R481" s="18"/>
      <c r="U481" s="53"/>
      <c r="V481" s="18"/>
    </row>
    <row r="482" spans="1:22" ht="24.95" customHeight="1" x14ac:dyDescent="0.2">
      <c r="B482" s="83" t="s">
        <v>1368</v>
      </c>
      <c r="C482" s="74">
        <v>2</v>
      </c>
      <c r="D482" s="506" t="str">
        <f>IFERROR(VLOOKUP(B482,Fontes!$A$9:$AC$6124,2,FALSE),0)</f>
        <v>Revestimento multilayer a base de resina epoxídica bicomponente impermeável na cor branca em escadas, espessura 3 mm</v>
      </c>
      <c r="E482" s="507">
        <f>IFERROR(VLOOKUP(D482,Planilha!$B$10:$AC$943,4,FALSE),0)</f>
        <v>0</v>
      </c>
      <c r="F482" s="508">
        <f>IFERROR(VLOOKUP(E482,Planilha!$B$10:$AC$943,4,FALSE),0)</f>
        <v>0</v>
      </c>
      <c r="G482" s="75" t="str">
        <f>IFERROR(VLOOKUP(B482,Fontes!$A$9:$AC$6124,3,FALSE),0)</f>
        <v>m2</v>
      </c>
      <c r="H482" s="76">
        <v>1</v>
      </c>
      <c r="I482" s="77"/>
      <c r="J482" s="278">
        <v>100</v>
      </c>
      <c r="K482" s="278">
        <v>66.36</v>
      </c>
      <c r="L482" s="77"/>
      <c r="M482" s="77"/>
      <c r="N482" s="78">
        <f>IFERROR(+AVERAGE(I482,J482,K482,L482,M482),0)</f>
        <v>83.18</v>
      </c>
      <c r="O482" s="58"/>
      <c r="P482" s="18">
        <f>N486</f>
        <v>46.95</v>
      </c>
      <c r="Q482" s="18">
        <f t="shared" ref="Q482:Q483" si="31">N482-P482</f>
        <v>36.230000000000004</v>
      </c>
      <c r="R482" s="18"/>
      <c r="U482" s="53"/>
      <c r="V482" s="18"/>
    </row>
    <row r="483" spans="1:22" ht="24.95" customHeight="1" x14ac:dyDescent="0.2">
      <c r="B483" s="83" t="s">
        <v>1369</v>
      </c>
      <c r="C483" s="74">
        <v>3</v>
      </c>
      <c r="D483" s="506" t="str">
        <f>IFERROR(VLOOKUP(B483,Fontes!$A$9:$AC$6124,2,FALSE),0)</f>
        <v>Revestimento autonivelante a base de resina epoxídica bicomponente impermeável na cor branca, espessura 4 mm</v>
      </c>
      <c r="E483" s="507">
        <f>IFERROR(VLOOKUP(D483,Planilha!$B$10:$AC$943,4,FALSE),0)</f>
        <v>0</v>
      </c>
      <c r="F483" s="508">
        <f>IFERROR(VLOOKUP(E483,Planilha!$B$10:$AC$943,4,FALSE),0)</f>
        <v>0</v>
      </c>
      <c r="G483" s="75" t="str">
        <f>IFERROR(VLOOKUP(B483,Fontes!$A$9:$AC$6124,3,FALSE),0)</f>
        <v>m2</v>
      </c>
      <c r="H483" s="76">
        <v>1</v>
      </c>
      <c r="I483" s="77">
        <f>113040.37/783</f>
        <v>144.36828863346105</v>
      </c>
      <c r="J483" s="278">
        <v>160</v>
      </c>
      <c r="K483" s="278">
        <v>156.49</v>
      </c>
      <c r="L483" s="77"/>
      <c r="M483" s="77"/>
      <c r="N483" s="78">
        <f>IFERROR(+AVERAGE(I483,J483,K483,L483,M483),0)</f>
        <v>153.61942954448702</v>
      </c>
      <c r="O483" s="58"/>
      <c r="P483" s="18">
        <f>N487</f>
        <v>55</v>
      </c>
      <c r="Q483" s="18">
        <f t="shared" si="31"/>
        <v>98.619429544487019</v>
      </c>
      <c r="R483" s="18"/>
      <c r="U483" s="53"/>
      <c r="V483" s="18"/>
    </row>
    <row r="484" spans="1:22" ht="24.95" customHeight="1" x14ac:dyDescent="0.2">
      <c r="C484" s="74"/>
      <c r="D484" s="506" t="s">
        <v>1445</v>
      </c>
      <c r="E484" s="507"/>
      <c r="F484" s="508"/>
      <c r="G484" s="75"/>
      <c r="H484" s="76"/>
      <c r="I484" s="77"/>
      <c r="J484" s="77"/>
      <c r="K484" s="77"/>
      <c r="L484" s="77"/>
      <c r="M484" s="77"/>
      <c r="N484" s="78">
        <f t="shared" ref="N484:N486" si="32">IFERROR(+AVERAGE(I484,J484,K484,L484,M484),0)</f>
        <v>0</v>
      </c>
      <c r="O484" s="58"/>
      <c r="P484" s="18"/>
      <c r="Q484" s="18"/>
      <c r="R484" s="18"/>
      <c r="U484" s="53"/>
      <c r="V484" s="18"/>
    </row>
    <row r="485" spans="1:22" ht="24.95" customHeight="1" x14ac:dyDescent="0.2">
      <c r="C485" s="74">
        <v>1</v>
      </c>
      <c r="D485" s="506"/>
      <c r="E485" s="507"/>
      <c r="F485" s="508"/>
      <c r="G485" s="75"/>
      <c r="H485" s="76"/>
      <c r="I485" s="77">
        <f>45+8.9</f>
        <v>53.9</v>
      </c>
      <c r="J485" s="77">
        <v>35</v>
      </c>
      <c r="K485" s="77"/>
      <c r="L485" s="77"/>
      <c r="M485" s="77"/>
      <c r="N485" s="78">
        <f t="shared" si="32"/>
        <v>44.45</v>
      </c>
      <c r="O485" s="58"/>
      <c r="P485" s="18"/>
      <c r="Q485" s="18"/>
      <c r="R485" s="18"/>
      <c r="U485" s="53"/>
      <c r="V485" s="18"/>
    </row>
    <row r="486" spans="1:22" ht="24.95" customHeight="1" x14ac:dyDescent="0.2">
      <c r="C486" s="74">
        <v>2</v>
      </c>
      <c r="D486" s="506"/>
      <c r="E486" s="507"/>
      <c r="F486" s="508"/>
      <c r="G486" s="75"/>
      <c r="H486" s="76"/>
      <c r="I486" s="77">
        <f>I485</f>
        <v>53.9</v>
      </c>
      <c r="J486" s="77">
        <v>40</v>
      </c>
      <c r="K486" s="77"/>
      <c r="L486" s="77"/>
      <c r="M486" s="77"/>
      <c r="N486" s="78">
        <f t="shared" si="32"/>
        <v>46.95</v>
      </c>
      <c r="O486" s="58"/>
      <c r="P486" s="18"/>
      <c r="Q486" s="18"/>
      <c r="R486" s="18"/>
      <c r="U486" s="53"/>
      <c r="V486" s="18"/>
    </row>
    <row r="487" spans="1:22" ht="24.95" customHeight="1" x14ac:dyDescent="0.2">
      <c r="C487" s="74">
        <v>2</v>
      </c>
      <c r="D487" s="506"/>
      <c r="E487" s="507"/>
      <c r="F487" s="508"/>
      <c r="G487" s="75"/>
      <c r="H487" s="76"/>
      <c r="I487" s="77"/>
      <c r="J487" s="77">
        <v>55</v>
      </c>
      <c r="K487" s="77"/>
      <c r="L487" s="77"/>
      <c r="M487" s="77"/>
      <c r="N487" s="78">
        <f t="shared" ref="N487" si="33">IFERROR(+AVERAGE(I487,J487,K487,L487,M487),0)</f>
        <v>55</v>
      </c>
      <c r="O487" s="58"/>
      <c r="P487" s="18"/>
      <c r="Q487" s="18"/>
      <c r="R487" s="18"/>
      <c r="U487" s="53"/>
      <c r="V487" s="18"/>
    </row>
    <row r="488" spans="1:22" ht="15.75" thickBot="1" x14ac:dyDescent="0.25">
      <c r="C488" s="79"/>
      <c r="D488" s="493"/>
      <c r="E488" s="494"/>
      <c r="F488" s="495"/>
      <c r="G488" s="80"/>
      <c r="H488" s="80"/>
      <c r="I488" s="81"/>
      <c r="J488" s="81"/>
      <c r="K488" s="81"/>
      <c r="L488" s="81"/>
      <c r="M488" s="81"/>
      <c r="N488" s="82"/>
      <c r="O488" s="58"/>
    </row>
    <row r="489" spans="1:22" x14ac:dyDescent="0.2">
      <c r="O489" s="58"/>
    </row>
    <row r="490" spans="1:22" ht="15.75" thickBot="1" x14ac:dyDescent="0.25">
      <c r="O490" s="58"/>
    </row>
    <row r="491" spans="1:22" s="49" customFormat="1" ht="15.75" thickBot="1" x14ac:dyDescent="0.25">
      <c r="A491" s="87"/>
      <c r="B491" s="87"/>
      <c r="C491" s="46" t="s">
        <v>42</v>
      </c>
      <c r="D491" s="47"/>
      <c r="E491" s="47"/>
      <c r="F491" s="47"/>
      <c r="G491" s="47"/>
      <c r="H491" s="48"/>
      <c r="I491" s="48"/>
      <c r="J491" s="48"/>
      <c r="K491" s="48"/>
      <c r="L491" s="48"/>
      <c r="M491" s="48"/>
      <c r="N491" s="48"/>
      <c r="O491" s="58"/>
      <c r="S491" s="50"/>
    </row>
    <row r="492" spans="1:22" s="49" customFormat="1" ht="12.75" x14ac:dyDescent="0.2">
      <c r="A492" s="87"/>
      <c r="B492" s="87"/>
      <c r="C492" s="496"/>
      <c r="D492" s="496"/>
      <c r="E492" s="496"/>
      <c r="F492" s="496"/>
      <c r="G492" s="496"/>
      <c r="H492" s="496"/>
      <c r="I492" s="496"/>
      <c r="J492" s="496"/>
      <c r="K492" s="496"/>
      <c r="L492" s="496"/>
      <c r="M492" s="496"/>
      <c r="N492" s="496"/>
      <c r="O492" s="59"/>
      <c r="S492" s="50"/>
    </row>
    <row r="493" spans="1:22" s="49" customFormat="1" ht="12.75" x14ac:dyDescent="0.2">
      <c r="A493" s="87"/>
      <c r="B493" s="87"/>
      <c r="C493" s="497"/>
      <c r="D493" s="497"/>
      <c r="E493" s="497"/>
      <c r="F493" s="497"/>
      <c r="G493" s="497"/>
      <c r="H493" s="497"/>
      <c r="I493" s="497"/>
      <c r="J493" s="497"/>
      <c r="K493" s="497"/>
      <c r="L493" s="497"/>
      <c r="M493" s="497"/>
      <c r="N493" s="497"/>
      <c r="O493" s="59"/>
      <c r="S493" s="50"/>
    </row>
    <row r="494" spans="1:22" s="49" customFormat="1" ht="12.75" x14ac:dyDescent="0.2">
      <c r="A494" s="87"/>
      <c r="B494" s="87"/>
      <c r="C494" s="497"/>
      <c r="D494" s="497"/>
      <c r="E494" s="497"/>
      <c r="F494" s="497"/>
      <c r="G494" s="497"/>
      <c r="H494" s="497"/>
      <c r="I494" s="497"/>
      <c r="J494" s="497"/>
      <c r="K494" s="497"/>
      <c r="L494" s="497"/>
      <c r="M494" s="497"/>
      <c r="N494" s="497"/>
      <c r="O494" s="59"/>
      <c r="S494" s="50"/>
    </row>
    <row r="495" spans="1:22" s="49" customFormat="1" ht="12.75" x14ac:dyDescent="0.2">
      <c r="A495" s="87"/>
      <c r="B495" s="87"/>
      <c r="C495" s="497"/>
      <c r="D495" s="497"/>
      <c r="E495" s="497"/>
      <c r="F495" s="497"/>
      <c r="G495" s="497"/>
      <c r="H495" s="497"/>
      <c r="I495" s="497"/>
      <c r="J495" s="497"/>
      <c r="K495" s="497"/>
      <c r="L495" s="497"/>
      <c r="M495" s="497"/>
      <c r="N495" s="497"/>
      <c r="O495" s="59"/>
      <c r="S495" s="50"/>
    </row>
    <row r="496" spans="1:22" s="49" customFormat="1" ht="13.5" thickBot="1" x14ac:dyDescent="0.25">
      <c r="A496" s="87"/>
      <c r="B496" s="87"/>
      <c r="C496" s="498"/>
      <c r="D496" s="498"/>
      <c r="E496" s="498"/>
      <c r="F496" s="498"/>
      <c r="G496" s="498"/>
      <c r="H496" s="498"/>
      <c r="I496" s="498"/>
      <c r="J496" s="498"/>
      <c r="K496" s="498"/>
      <c r="L496" s="498"/>
      <c r="M496" s="498"/>
      <c r="N496" s="498"/>
      <c r="O496" s="59"/>
      <c r="S496" s="50"/>
    </row>
    <row r="497" spans="1:19" s="10" customFormat="1" ht="12" thickBot="1" x14ac:dyDescent="0.25">
      <c r="C497" s="6"/>
      <c r="D497" s="6"/>
      <c r="E497" s="6"/>
      <c r="F497" s="7"/>
      <c r="G497" s="8"/>
      <c r="H497" s="8"/>
      <c r="I497" s="9"/>
      <c r="N497" s="4"/>
      <c r="O497" s="55"/>
      <c r="S497" s="11"/>
    </row>
    <row r="498" spans="1:19" s="34" customFormat="1" ht="16.5" thickBot="1" x14ac:dyDescent="0.25">
      <c r="A498" s="84"/>
      <c r="B498" s="84"/>
      <c r="C498" s="30">
        <v>14</v>
      </c>
      <c r="D498" s="31" t="s">
        <v>411</v>
      </c>
      <c r="E498" s="32"/>
      <c r="F498" s="32"/>
      <c r="G498" s="32"/>
      <c r="H498" s="32"/>
      <c r="I498" s="32"/>
      <c r="J498" s="32"/>
      <c r="K498" s="32"/>
      <c r="L498" s="32"/>
      <c r="M498" s="32"/>
      <c r="N498" s="33"/>
      <c r="O498" s="56"/>
      <c r="S498" s="35"/>
    </row>
    <row r="499" spans="1:19" s="40" customFormat="1" ht="16.5" customHeight="1" thickBot="1" x14ac:dyDescent="0.25">
      <c r="A499" s="85"/>
      <c r="B499" s="85"/>
      <c r="C499" s="36" t="s">
        <v>914</v>
      </c>
      <c r="D499" s="37" t="s">
        <v>1464</v>
      </c>
      <c r="E499" s="38"/>
      <c r="F499" s="38"/>
      <c r="G499" s="38"/>
      <c r="H499" s="38"/>
      <c r="I499" s="38"/>
      <c r="J499" s="38"/>
      <c r="K499" s="38"/>
      <c r="L499" s="38"/>
      <c r="M499" s="38"/>
      <c r="N499" s="39"/>
      <c r="O499" s="57"/>
      <c r="S499" s="41"/>
    </row>
    <row r="500" spans="1:19" s="10" customFormat="1" ht="11.25" x14ac:dyDescent="0.2">
      <c r="C500" s="6"/>
      <c r="D500" s="6"/>
      <c r="E500" s="6"/>
      <c r="F500" s="7"/>
      <c r="G500" s="8"/>
      <c r="H500" s="8"/>
      <c r="I500" s="9"/>
      <c r="M500" s="4"/>
      <c r="N500" s="5"/>
      <c r="O500" s="55"/>
      <c r="S500" s="11"/>
    </row>
    <row r="501" spans="1:19" ht="18" thickBot="1" x14ac:dyDescent="0.25">
      <c r="C501" s="66" t="s">
        <v>34</v>
      </c>
      <c r="D501" s="537" t="s">
        <v>1465</v>
      </c>
      <c r="E501" s="538"/>
      <c r="F501" s="539"/>
      <c r="G501" s="540" t="s">
        <v>35</v>
      </c>
      <c r="H501" s="541"/>
      <c r="I501" s="42" t="s">
        <v>1467</v>
      </c>
      <c r="J501" s="66" t="s">
        <v>36</v>
      </c>
      <c r="K501" s="542" t="s">
        <v>1466</v>
      </c>
      <c r="L501" s="543"/>
      <c r="M501" s="66" t="s">
        <v>37</v>
      </c>
      <c r="N501" s="43">
        <v>44708</v>
      </c>
      <c r="O501" s="58"/>
    </row>
    <row r="502" spans="1:19" ht="18.75" thickTop="1" thickBot="1" x14ac:dyDescent="0.25">
      <c r="C502" s="66" t="s">
        <v>34</v>
      </c>
      <c r="D502" s="537" t="s">
        <v>1469</v>
      </c>
      <c r="E502" s="538"/>
      <c r="F502" s="539"/>
      <c r="G502" s="540" t="s">
        <v>35</v>
      </c>
      <c r="H502" s="541"/>
      <c r="I502" s="42" t="s">
        <v>1468</v>
      </c>
      <c r="J502" s="66" t="s">
        <v>36</v>
      </c>
      <c r="K502" s="542" t="s">
        <v>1456</v>
      </c>
      <c r="L502" s="543"/>
      <c r="M502" s="66" t="s">
        <v>37</v>
      </c>
      <c r="N502" s="43">
        <v>44708</v>
      </c>
      <c r="O502" s="58"/>
    </row>
    <row r="503" spans="1:19" ht="18.75" thickTop="1" thickBot="1" x14ac:dyDescent="0.25">
      <c r="C503" s="66" t="s">
        <v>34</v>
      </c>
      <c r="D503" s="530"/>
      <c r="E503" s="531"/>
      <c r="F503" s="532"/>
      <c r="G503" s="533" t="s">
        <v>35</v>
      </c>
      <c r="H503" s="534"/>
      <c r="I503" s="44"/>
      <c r="J503" s="66" t="s">
        <v>36</v>
      </c>
      <c r="K503" s="535"/>
      <c r="L503" s="536"/>
      <c r="M503" s="66" t="s">
        <v>37</v>
      </c>
      <c r="N503" s="45"/>
      <c r="O503" s="58"/>
    </row>
    <row r="504" spans="1:19" ht="18.75" thickTop="1" thickBot="1" x14ac:dyDescent="0.25">
      <c r="C504" s="66" t="s">
        <v>34</v>
      </c>
      <c r="D504" s="530"/>
      <c r="E504" s="531"/>
      <c r="F504" s="532"/>
      <c r="G504" s="533" t="s">
        <v>35</v>
      </c>
      <c r="H504" s="534"/>
      <c r="I504" s="44"/>
      <c r="J504" s="66" t="s">
        <v>36</v>
      </c>
      <c r="K504" s="535"/>
      <c r="L504" s="536"/>
      <c r="M504" s="66" t="s">
        <v>37</v>
      </c>
      <c r="N504" s="45"/>
      <c r="O504" s="58"/>
    </row>
    <row r="505" spans="1:19" ht="18.75" thickTop="1" thickBot="1" x14ac:dyDescent="0.25">
      <c r="C505" s="66" t="s">
        <v>34</v>
      </c>
      <c r="D505" s="530"/>
      <c r="E505" s="531"/>
      <c r="F505" s="532"/>
      <c r="G505" s="533" t="s">
        <v>35</v>
      </c>
      <c r="H505" s="534"/>
      <c r="I505" s="44"/>
      <c r="J505" s="66" t="s">
        <v>36</v>
      </c>
      <c r="K505" s="535"/>
      <c r="L505" s="536"/>
      <c r="M505" s="66" t="s">
        <v>37</v>
      </c>
      <c r="N505" s="45"/>
      <c r="O505" s="58"/>
    </row>
    <row r="506" spans="1:19" ht="16.5" thickTop="1" thickBot="1" x14ac:dyDescent="0.25">
      <c r="O506" s="58"/>
    </row>
    <row r="507" spans="1:19" ht="15" customHeight="1" x14ac:dyDescent="0.2">
      <c r="C507" s="509" t="s">
        <v>19</v>
      </c>
      <c r="D507" s="499" t="s">
        <v>7</v>
      </c>
      <c r="E507" s="512"/>
      <c r="F507" s="500"/>
      <c r="G507" s="519" t="s">
        <v>30</v>
      </c>
      <c r="H507" s="522" t="s">
        <v>38</v>
      </c>
      <c r="I507" s="261" t="s">
        <v>39</v>
      </c>
      <c r="J507" s="261" t="s">
        <v>39</v>
      </c>
      <c r="K507" s="261" t="s">
        <v>39</v>
      </c>
      <c r="L507" s="261" t="s">
        <v>39</v>
      </c>
      <c r="M507" s="261" t="s">
        <v>39</v>
      </c>
      <c r="N507" s="525" t="s">
        <v>40</v>
      </c>
      <c r="O507" s="58"/>
    </row>
    <row r="508" spans="1:19" x14ac:dyDescent="0.2">
      <c r="C508" s="510"/>
      <c r="D508" s="513"/>
      <c r="E508" s="514"/>
      <c r="F508" s="515"/>
      <c r="G508" s="520"/>
      <c r="H508" s="523"/>
      <c r="I508" s="12" t="str">
        <f>D501</f>
        <v>TNF</v>
      </c>
      <c r="J508" s="12" t="str">
        <f>D502</f>
        <v>LOCAR</v>
      </c>
      <c r="K508" s="12">
        <f>D503</f>
        <v>0</v>
      </c>
      <c r="L508" s="12">
        <f>D504</f>
        <v>0</v>
      </c>
      <c r="M508" s="12">
        <f>D505</f>
        <v>0</v>
      </c>
      <c r="N508" s="526"/>
      <c r="O508" s="58"/>
    </row>
    <row r="509" spans="1:19" ht="15" customHeight="1" x14ac:dyDescent="0.2">
      <c r="C509" s="510"/>
      <c r="D509" s="513"/>
      <c r="E509" s="514"/>
      <c r="F509" s="515"/>
      <c r="G509" s="520"/>
      <c r="H509" s="523"/>
      <c r="I509" s="528" t="s">
        <v>41</v>
      </c>
      <c r="J509" s="528" t="s">
        <v>41</v>
      </c>
      <c r="K509" s="528" t="s">
        <v>41</v>
      </c>
      <c r="L509" s="528" t="s">
        <v>41</v>
      </c>
      <c r="M509" s="528" t="s">
        <v>41</v>
      </c>
      <c r="N509" s="526"/>
      <c r="O509" s="58"/>
    </row>
    <row r="510" spans="1:19" ht="15.75" thickBot="1" x14ac:dyDescent="0.25">
      <c r="C510" s="511"/>
      <c r="D510" s="516"/>
      <c r="E510" s="517"/>
      <c r="F510" s="518"/>
      <c r="G510" s="521"/>
      <c r="H510" s="524"/>
      <c r="I510" s="529"/>
      <c r="J510" s="529"/>
      <c r="K510" s="529"/>
      <c r="L510" s="529"/>
      <c r="M510" s="529"/>
      <c r="N510" s="527"/>
      <c r="O510" s="58"/>
    </row>
    <row r="511" spans="1:19" ht="15.75" thickBot="1" x14ac:dyDescent="0.25">
      <c r="O511" s="58"/>
      <c r="P511" s="200" t="s">
        <v>79</v>
      </c>
      <c r="Q511" s="200" t="s">
        <v>89</v>
      </c>
      <c r="R511" s="200" t="s">
        <v>90</v>
      </c>
    </row>
    <row r="512" spans="1:19" s="67" customFormat="1" x14ac:dyDescent="0.2">
      <c r="A512" s="86"/>
      <c r="B512" s="86"/>
      <c r="C512" s="68"/>
      <c r="D512" s="503"/>
      <c r="E512" s="504"/>
      <c r="F512" s="505"/>
      <c r="G512" s="69"/>
      <c r="H512" s="69"/>
      <c r="I512" s="70"/>
      <c r="J512" s="70"/>
      <c r="K512" s="70"/>
      <c r="L512" s="70"/>
      <c r="M512" s="70"/>
      <c r="N512" s="71"/>
      <c r="O512" s="72"/>
      <c r="P512" s="53"/>
      <c r="Q512" s="17"/>
      <c r="R512" s="17"/>
      <c r="S512" s="73"/>
    </row>
    <row r="513" spans="1:22" ht="33" customHeight="1" x14ac:dyDescent="0.2">
      <c r="B513" s="83" t="s">
        <v>1862</v>
      </c>
      <c r="C513" s="74">
        <v>1</v>
      </c>
      <c r="D513" s="506" t="str">
        <f>IFERROR(VLOOKUP(B513,Fontes!$A$9:$AC$6124,2,FALSE),0)</f>
        <v>Mobilização e desmobilização de guindaste sobre pneus com capacidade para 70 toneladas</v>
      </c>
      <c r="E513" s="507">
        <f>IFERROR(VLOOKUP(D513,Planilha!$B$10:$AC$943,4,FALSE),0)</f>
        <v>0</v>
      </c>
      <c r="F513" s="508">
        <f>IFERROR(VLOOKUP(E513,Planilha!$B$10:$AC$943,4,FALSE),0)</f>
        <v>0</v>
      </c>
      <c r="G513" s="75" t="str">
        <f>IFERROR(VLOOKUP(B513,Fontes!$A$9:$AC$6124,3,FALSE),0)</f>
        <v>un</v>
      </c>
      <c r="H513" s="76">
        <v>1</v>
      </c>
      <c r="I513" s="77">
        <f>2750*2</f>
        <v>5500</v>
      </c>
      <c r="J513" s="77"/>
      <c r="K513" s="77"/>
      <c r="L513" s="77"/>
      <c r="M513" s="77"/>
      <c r="N513" s="78">
        <f>IFERROR(+AVERAGE(I513,J513,K513,L513,M513),0)</f>
        <v>5500</v>
      </c>
      <c r="O513" s="58"/>
      <c r="P513" s="18"/>
      <c r="Q513" s="18"/>
      <c r="R513" s="18">
        <f>N513</f>
        <v>5500</v>
      </c>
      <c r="U513" s="53"/>
      <c r="V513" s="18"/>
    </row>
    <row r="514" spans="1:22" ht="24.95" customHeight="1" x14ac:dyDescent="0.2">
      <c r="B514" s="83" t="s">
        <v>1370</v>
      </c>
      <c r="C514" s="74">
        <v>2</v>
      </c>
      <c r="D514" s="506" t="str">
        <f>IFERROR(VLOOKUP(B514,Fontes!$A$9:$AC$6124,2,FALSE),0)</f>
        <v>Mobilização e desmobilização de guindaste sobre pneus com capacidade para 160 toneladas</v>
      </c>
      <c r="E514" s="507">
        <f>IFERROR(VLOOKUP(D514,Planilha!$B$10:$AC$943,4,FALSE),0)</f>
        <v>0</v>
      </c>
      <c r="F514" s="508">
        <f>IFERROR(VLOOKUP(E514,Planilha!$B$10:$AC$943,4,FALSE),0)</f>
        <v>0</v>
      </c>
      <c r="G514" s="75" t="str">
        <f>IFERROR(VLOOKUP(B514,Fontes!$A$9:$AC$6124,3,FALSE),0)</f>
        <v>un</v>
      </c>
      <c r="H514" s="76">
        <v>1</v>
      </c>
      <c r="I514" s="77">
        <f>7700*2</f>
        <v>15400</v>
      </c>
      <c r="J514" s="278">
        <f>6750*2</f>
        <v>13500</v>
      </c>
      <c r="K514" s="278"/>
      <c r="L514" s="77"/>
      <c r="M514" s="77"/>
      <c r="N514" s="78">
        <f>IFERROR(+AVERAGE(I514,J514,K514,L514,M514),0)</f>
        <v>14450</v>
      </c>
      <c r="O514" s="58"/>
      <c r="P514" s="18"/>
      <c r="Q514" s="18"/>
      <c r="R514" s="18">
        <f t="shared" ref="R514:R516" si="34">N514</f>
        <v>14450</v>
      </c>
      <c r="U514" s="53"/>
      <c r="V514" s="18"/>
    </row>
    <row r="515" spans="1:22" ht="24.95" customHeight="1" x14ac:dyDescent="0.2">
      <c r="B515" s="83" t="s">
        <v>1371</v>
      </c>
      <c r="C515" s="74">
        <v>3</v>
      </c>
      <c r="D515" s="506" t="str">
        <f>IFERROR(VLOOKUP(B515,Fontes!$A$9:$AC$6124,2,FALSE),0)</f>
        <v>Locação de guindaste sobre pneus com capacidade para 70 toneladas incluso combustível</v>
      </c>
      <c r="E515" s="507">
        <f>IFERROR(VLOOKUP(D515,Planilha!$B$10:$AC$943,4,FALSE),0)</f>
        <v>0</v>
      </c>
      <c r="F515" s="508">
        <f>IFERROR(VLOOKUP(E515,Planilha!$B$10:$AC$943,4,FALSE),0)</f>
        <v>0</v>
      </c>
      <c r="G515" s="75" t="str">
        <f>IFERROR(VLOOKUP(B515,Fontes!$A$9:$AC$6124,3,FALSE),0)</f>
        <v>dia</v>
      </c>
      <c r="H515" s="76">
        <v>1</v>
      </c>
      <c r="I515" s="77">
        <f>(64000-I513)/14</f>
        <v>4178.5714285714284</v>
      </c>
      <c r="J515" s="278">
        <f>350*10</f>
        <v>3500</v>
      </c>
      <c r="K515" s="278"/>
      <c r="L515" s="77"/>
      <c r="M515" s="77"/>
      <c r="N515" s="78">
        <f>IFERROR(+AVERAGE(I515,J515,K515,L515,M515),0)</f>
        <v>3839.2857142857142</v>
      </c>
      <c r="O515" s="58"/>
      <c r="P515" s="18">
        <f>N519</f>
        <v>50</v>
      </c>
      <c r="Q515" s="18">
        <f>N517</f>
        <v>1156.5372000000002</v>
      </c>
      <c r="R515" s="18">
        <f t="shared" si="34"/>
        <v>3839.2857142857142</v>
      </c>
      <c r="U515" s="53"/>
      <c r="V515" s="18"/>
    </row>
    <row r="516" spans="1:22" ht="24.95" customHeight="1" x14ac:dyDescent="0.2">
      <c r="B516" s="83" t="s">
        <v>1372</v>
      </c>
      <c r="C516" s="74">
        <v>4</v>
      </c>
      <c r="D516" s="506" t="str">
        <f>IFERROR(VLOOKUP(B516,Fontes!$A$9:$AC$6124,2,FALSE),0)</f>
        <v>Locação de guindaste sobre pneus com capacidade para 160 toneladas incluso combustível</v>
      </c>
      <c r="E516" s="507">
        <f>IFERROR(VLOOKUP(D516,Planilha!$B$10:$AC$943,4,FALSE),0)</f>
        <v>0</v>
      </c>
      <c r="F516" s="508">
        <f>IFERROR(VLOOKUP(E516,Planilha!$B$10:$AC$943,4,FALSE),0)</f>
        <v>0</v>
      </c>
      <c r="G516" s="75" t="str">
        <f>IFERROR(VLOOKUP(B516,Fontes!$A$9:$AC$6124,3,FALSE),0)</f>
        <v>dia</v>
      </c>
      <c r="H516" s="76">
        <v>1</v>
      </c>
      <c r="I516" s="77">
        <f>(90210.52-I514)/7</f>
        <v>10687.217142857144</v>
      </c>
      <c r="J516" s="278">
        <f>990*10</f>
        <v>9900</v>
      </c>
      <c r="K516" s="278"/>
      <c r="L516" s="77"/>
      <c r="M516" s="77"/>
      <c r="N516" s="78">
        <f>IFERROR(+AVERAGE(I516,J516,K516,L516,M516),0)</f>
        <v>10293.608571428573</v>
      </c>
      <c r="O516" s="58"/>
      <c r="P516" s="18">
        <f>P515</f>
        <v>50</v>
      </c>
      <c r="Q516" s="18">
        <f>N518</f>
        <v>1480.248</v>
      </c>
      <c r="R516" s="18">
        <f t="shared" si="34"/>
        <v>10293.608571428573</v>
      </c>
      <c r="U516" s="53"/>
      <c r="V516" s="18"/>
    </row>
    <row r="517" spans="1:22" ht="24.95" customHeight="1" x14ac:dyDescent="0.2">
      <c r="C517" s="74">
        <v>5</v>
      </c>
      <c r="D517" s="506" t="s">
        <v>1472</v>
      </c>
      <c r="E517" s="507"/>
      <c r="F517" s="508"/>
      <c r="G517" s="75" t="s">
        <v>247</v>
      </c>
      <c r="H517" s="76">
        <v>1</v>
      </c>
      <c r="I517" s="77">
        <f>30.94*10*3.738</f>
        <v>1156.5372000000002</v>
      </c>
      <c r="J517" s="77"/>
      <c r="K517" s="77"/>
      <c r="L517" s="77"/>
      <c r="M517" s="77"/>
      <c r="N517" s="78">
        <f t="shared" ref="N517:N519" si="35">IFERROR(+AVERAGE(I517,J517,K517,L517,M517),0)</f>
        <v>1156.5372000000002</v>
      </c>
      <c r="O517" s="58"/>
      <c r="P517" s="18"/>
      <c r="Q517" s="18"/>
      <c r="R517" s="18"/>
      <c r="U517" s="53"/>
      <c r="V517" s="18"/>
    </row>
    <row r="518" spans="1:22" ht="24.95" customHeight="1" x14ac:dyDescent="0.2">
      <c r="C518" s="74">
        <v>6</v>
      </c>
      <c r="D518" s="506" t="s">
        <v>1473</v>
      </c>
      <c r="E518" s="507"/>
      <c r="F518" s="508"/>
      <c r="G518" s="75" t="s">
        <v>247</v>
      </c>
      <c r="H518" s="76">
        <v>1</v>
      </c>
      <c r="I518" s="77">
        <f>39.6*10*3.738</f>
        <v>1480.248</v>
      </c>
      <c r="J518" s="77"/>
      <c r="K518" s="77"/>
      <c r="L518" s="77"/>
      <c r="M518" s="77"/>
      <c r="N518" s="78">
        <f t="shared" si="35"/>
        <v>1480.248</v>
      </c>
      <c r="O518" s="58"/>
      <c r="P518" s="18"/>
      <c r="Q518" s="18"/>
      <c r="R518" s="18"/>
      <c r="U518" s="53"/>
      <c r="V518" s="18"/>
    </row>
    <row r="519" spans="1:22" ht="24.95" customHeight="1" x14ac:dyDescent="0.2">
      <c r="C519" s="74">
        <v>7</v>
      </c>
      <c r="D519" s="506" t="s">
        <v>1470</v>
      </c>
      <c r="E519" s="507"/>
      <c r="F519" s="508"/>
      <c r="G519" s="75" t="s">
        <v>247</v>
      </c>
      <c r="H519" s="76">
        <v>1</v>
      </c>
      <c r="I519" s="77">
        <v>50</v>
      </c>
      <c r="J519" s="77"/>
      <c r="K519" s="77"/>
      <c r="L519" s="77"/>
      <c r="M519" s="77"/>
      <c r="N519" s="78">
        <f t="shared" si="35"/>
        <v>50</v>
      </c>
      <c r="O519" s="58"/>
      <c r="P519" s="18"/>
      <c r="Q519" s="18"/>
      <c r="R519" s="18"/>
      <c r="U519" s="53"/>
      <c r="V519" s="18"/>
    </row>
    <row r="520" spans="1:22" ht="24.95" customHeight="1" x14ac:dyDescent="0.2">
      <c r="C520" s="74">
        <v>7</v>
      </c>
      <c r="D520" s="506" t="s">
        <v>1471</v>
      </c>
      <c r="E520" s="507"/>
      <c r="F520" s="508"/>
      <c r="G520" s="75" t="s">
        <v>247</v>
      </c>
      <c r="H520" s="76">
        <v>1</v>
      </c>
      <c r="I520" s="77">
        <f>I519</f>
        <v>50</v>
      </c>
      <c r="J520" s="77"/>
      <c r="K520" s="77"/>
      <c r="L520" s="77"/>
      <c r="M520" s="77"/>
      <c r="N520" s="78">
        <f t="shared" ref="N520" si="36">IFERROR(+AVERAGE(I520,J520,K520,L520,M520),0)</f>
        <v>50</v>
      </c>
      <c r="O520" s="58"/>
      <c r="P520" s="18"/>
      <c r="Q520" s="18"/>
      <c r="R520" s="18"/>
      <c r="U520" s="53"/>
      <c r="V520" s="18"/>
    </row>
    <row r="521" spans="1:22" ht="15.75" thickBot="1" x14ac:dyDescent="0.25">
      <c r="C521" s="79"/>
      <c r="D521" s="493"/>
      <c r="E521" s="494"/>
      <c r="F521" s="495"/>
      <c r="G521" s="80"/>
      <c r="H521" s="80"/>
      <c r="I521" s="81"/>
      <c r="J521" s="81"/>
      <c r="K521" s="81"/>
      <c r="L521" s="81"/>
      <c r="M521" s="81"/>
      <c r="N521" s="82"/>
      <c r="O521" s="58"/>
    </row>
    <row r="522" spans="1:22" x14ac:dyDescent="0.2">
      <c r="O522" s="58"/>
    </row>
    <row r="523" spans="1:22" ht="15.75" thickBot="1" x14ac:dyDescent="0.25">
      <c r="O523" s="58"/>
    </row>
    <row r="524" spans="1:22" s="49" customFormat="1" ht="15.75" thickBot="1" x14ac:dyDescent="0.25">
      <c r="A524" s="87"/>
      <c r="B524" s="87"/>
      <c r="C524" s="46" t="s">
        <v>42</v>
      </c>
      <c r="D524" s="47"/>
      <c r="E524" s="47"/>
      <c r="F524" s="47"/>
      <c r="G524" s="47"/>
      <c r="H524" s="48"/>
      <c r="I524" s="48"/>
      <c r="J524" s="48"/>
      <c r="K524" s="48"/>
      <c r="L524" s="48"/>
      <c r="M524" s="48"/>
      <c r="N524" s="48"/>
      <c r="O524" s="58"/>
      <c r="S524" s="50"/>
    </row>
    <row r="525" spans="1:22" s="49" customFormat="1" ht="12.75" x14ac:dyDescent="0.2">
      <c r="A525" s="87"/>
      <c r="B525" s="87"/>
      <c r="C525" s="496"/>
      <c r="D525" s="496"/>
      <c r="E525" s="496"/>
      <c r="F525" s="496"/>
      <c r="G525" s="496"/>
      <c r="H525" s="496"/>
      <c r="I525" s="496"/>
      <c r="J525" s="496"/>
      <c r="K525" s="496"/>
      <c r="L525" s="496"/>
      <c r="M525" s="496"/>
      <c r="N525" s="496"/>
      <c r="O525" s="59"/>
      <c r="S525" s="50"/>
    </row>
    <row r="526" spans="1:22" s="49" customFormat="1" ht="12.75" x14ac:dyDescent="0.2">
      <c r="A526" s="87"/>
      <c r="B526" s="87"/>
      <c r="C526" s="497"/>
      <c r="D526" s="497"/>
      <c r="E526" s="497"/>
      <c r="F526" s="497"/>
      <c r="G526" s="497"/>
      <c r="H526" s="497"/>
      <c r="I526" s="497"/>
      <c r="J526" s="497"/>
      <c r="K526" s="497"/>
      <c r="L526" s="497"/>
      <c r="M526" s="497"/>
      <c r="N526" s="497"/>
      <c r="O526" s="59"/>
      <c r="S526" s="50"/>
    </row>
    <row r="527" spans="1:22" s="49" customFormat="1" ht="12.75" x14ac:dyDescent="0.2">
      <c r="A527" s="87"/>
      <c r="B527" s="87"/>
      <c r="C527" s="497"/>
      <c r="D527" s="497"/>
      <c r="E527" s="497"/>
      <c r="F527" s="497"/>
      <c r="G527" s="497"/>
      <c r="H527" s="497"/>
      <c r="I527" s="497"/>
      <c r="J527" s="497"/>
      <c r="K527" s="497"/>
      <c r="L527" s="497"/>
      <c r="M527" s="497"/>
      <c r="N527" s="497"/>
      <c r="O527" s="59"/>
      <c r="S527" s="50"/>
    </row>
    <row r="528" spans="1:22" s="49" customFormat="1" ht="12.75" x14ac:dyDescent="0.2">
      <c r="A528" s="87"/>
      <c r="B528" s="87"/>
      <c r="C528" s="497"/>
      <c r="D528" s="497"/>
      <c r="E528" s="497"/>
      <c r="F528" s="497"/>
      <c r="G528" s="497"/>
      <c r="H528" s="497"/>
      <c r="I528" s="497"/>
      <c r="J528" s="497"/>
      <c r="K528" s="497"/>
      <c r="L528" s="497"/>
      <c r="M528" s="497"/>
      <c r="N528" s="497"/>
      <c r="O528" s="59"/>
      <c r="S528" s="50"/>
    </row>
    <row r="529" spans="1:19" s="49" customFormat="1" ht="13.5" thickBot="1" x14ac:dyDescent="0.25">
      <c r="A529" s="87"/>
      <c r="B529" s="87"/>
      <c r="C529" s="498"/>
      <c r="D529" s="498"/>
      <c r="E529" s="498"/>
      <c r="F529" s="498"/>
      <c r="G529" s="498"/>
      <c r="H529" s="498"/>
      <c r="I529" s="498"/>
      <c r="J529" s="498"/>
      <c r="K529" s="498"/>
      <c r="L529" s="498"/>
      <c r="M529" s="498"/>
      <c r="N529" s="498"/>
      <c r="O529" s="59"/>
      <c r="S529" s="50"/>
    </row>
    <row r="530" spans="1:19" s="10" customFormat="1" ht="12" thickBot="1" x14ac:dyDescent="0.25">
      <c r="C530" s="6"/>
      <c r="D530" s="6"/>
      <c r="E530" s="6"/>
      <c r="F530" s="7"/>
      <c r="G530" s="8"/>
      <c r="H530" s="8"/>
      <c r="I530" s="9"/>
      <c r="N530" s="4"/>
      <c r="O530" s="55"/>
      <c r="S530" s="11"/>
    </row>
    <row r="531" spans="1:19" s="34" customFormat="1" ht="16.5" thickBot="1" x14ac:dyDescent="0.25">
      <c r="A531" s="84"/>
      <c r="B531" s="84"/>
      <c r="C531" s="30">
        <v>15</v>
      </c>
      <c r="D531" s="31" t="s">
        <v>65</v>
      </c>
      <c r="E531" s="32"/>
      <c r="F531" s="32"/>
      <c r="G531" s="32"/>
      <c r="H531" s="32"/>
      <c r="I531" s="32"/>
      <c r="J531" s="32"/>
      <c r="K531" s="32"/>
      <c r="L531" s="32"/>
      <c r="M531" s="32"/>
      <c r="N531" s="33"/>
      <c r="O531" s="56"/>
      <c r="S531" s="35"/>
    </row>
    <row r="532" spans="1:19" s="40" customFormat="1" ht="16.5" customHeight="1" thickBot="1" x14ac:dyDescent="0.25">
      <c r="A532" s="85"/>
      <c r="B532" s="85"/>
      <c r="C532" s="36" t="s">
        <v>1008</v>
      </c>
      <c r="D532" s="37" t="s">
        <v>1804</v>
      </c>
      <c r="E532" s="38"/>
      <c r="F532" s="38"/>
      <c r="G532" s="38"/>
      <c r="H532" s="38"/>
      <c r="I532" s="38"/>
      <c r="J532" s="38"/>
      <c r="K532" s="38"/>
      <c r="L532" s="38"/>
      <c r="M532" s="38"/>
      <c r="N532" s="39"/>
      <c r="O532" s="57"/>
      <c r="S532" s="41"/>
    </row>
    <row r="533" spans="1:19" s="10" customFormat="1" ht="11.25" x14ac:dyDescent="0.2">
      <c r="C533" s="6"/>
      <c r="D533" s="6"/>
      <c r="E533" s="6"/>
      <c r="F533" s="7"/>
      <c r="G533" s="8"/>
      <c r="H533" s="8"/>
      <c r="I533" s="9"/>
      <c r="M533" s="4"/>
      <c r="N533" s="5"/>
      <c r="O533" s="55"/>
      <c r="S533" s="11"/>
    </row>
    <row r="534" spans="1:19" ht="18" thickBot="1" x14ac:dyDescent="0.25">
      <c r="C534" s="66" t="s">
        <v>34</v>
      </c>
      <c r="D534" s="537" t="s">
        <v>1806</v>
      </c>
      <c r="E534" s="538"/>
      <c r="F534" s="539"/>
      <c r="G534" s="540" t="s">
        <v>35</v>
      </c>
      <c r="H534" s="541"/>
      <c r="I534" s="42" t="s">
        <v>217</v>
      </c>
      <c r="J534" s="66" t="s">
        <v>36</v>
      </c>
      <c r="K534" s="542" t="s">
        <v>1807</v>
      </c>
      <c r="L534" s="543"/>
      <c r="M534" s="66" t="s">
        <v>37</v>
      </c>
      <c r="N534" s="43">
        <v>44708</v>
      </c>
      <c r="O534" s="58"/>
    </row>
    <row r="535" spans="1:19" ht="18.75" thickTop="1" thickBot="1" x14ac:dyDescent="0.25">
      <c r="C535" s="66" t="s">
        <v>34</v>
      </c>
      <c r="D535" s="537" t="s">
        <v>1808</v>
      </c>
      <c r="E535" s="538"/>
      <c r="F535" s="539"/>
      <c r="G535" s="540" t="s">
        <v>35</v>
      </c>
      <c r="H535" s="541"/>
      <c r="I535" s="42" t="s">
        <v>1809</v>
      </c>
      <c r="J535" s="66" t="s">
        <v>36</v>
      </c>
      <c r="K535" s="542" t="s">
        <v>1810</v>
      </c>
      <c r="L535" s="543"/>
      <c r="M535" s="66" t="s">
        <v>37</v>
      </c>
      <c r="N535" s="43">
        <v>44704</v>
      </c>
      <c r="O535" s="58"/>
    </row>
    <row r="536" spans="1:19" ht="18.75" thickTop="1" thickBot="1" x14ac:dyDescent="0.25">
      <c r="C536" s="66" t="s">
        <v>34</v>
      </c>
      <c r="D536" s="530" t="s">
        <v>1811</v>
      </c>
      <c r="E536" s="531"/>
      <c r="F536" s="532"/>
      <c r="G536" s="533" t="s">
        <v>35</v>
      </c>
      <c r="H536" s="534"/>
      <c r="I536" s="44" t="s">
        <v>1813</v>
      </c>
      <c r="J536" s="66" t="s">
        <v>36</v>
      </c>
      <c r="K536" s="535" t="s">
        <v>1812</v>
      </c>
      <c r="L536" s="536"/>
      <c r="M536" s="66" t="s">
        <v>37</v>
      </c>
      <c r="N536" s="45">
        <v>44706</v>
      </c>
      <c r="O536" s="58"/>
    </row>
    <row r="537" spans="1:19" ht="18.75" thickTop="1" thickBot="1" x14ac:dyDescent="0.25">
      <c r="C537" s="66" t="s">
        <v>34</v>
      </c>
      <c r="D537" s="530"/>
      <c r="E537" s="531"/>
      <c r="F537" s="532"/>
      <c r="G537" s="533" t="s">
        <v>35</v>
      </c>
      <c r="H537" s="534"/>
      <c r="I537" s="44"/>
      <c r="J537" s="66" t="s">
        <v>36</v>
      </c>
      <c r="K537" s="535"/>
      <c r="L537" s="536"/>
      <c r="M537" s="66" t="s">
        <v>37</v>
      </c>
      <c r="N537" s="45"/>
      <c r="O537" s="58"/>
    </row>
    <row r="538" spans="1:19" ht="18.75" thickTop="1" thickBot="1" x14ac:dyDescent="0.25">
      <c r="C538" s="66" t="s">
        <v>34</v>
      </c>
      <c r="D538" s="530"/>
      <c r="E538" s="531"/>
      <c r="F538" s="532"/>
      <c r="G538" s="533" t="s">
        <v>35</v>
      </c>
      <c r="H538" s="534"/>
      <c r="I538" s="44"/>
      <c r="J538" s="66" t="s">
        <v>36</v>
      </c>
      <c r="K538" s="535"/>
      <c r="L538" s="536"/>
      <c r="M538" s="66" t="s">
        <v>37</v>
      </c>
      <c r="N538" s="45"/>
      <c r="O538" s="58"/>
    </row>
    <row r="539" spans="1:19" ht="16.5" thickTop="1" thickBot="1" x14ac:dyDescent="0.25">
      <c r="O539" s="58"/>
    </row>
    <row r="540" spans="1:19" ht="15" customHeight="1" x14ac:dyDescent="0.2">
      <c r="C540" s="509" t="s">
        <v>19</v>
      </c>
      <c r="D540" s="499" t="s">
        <v>7</v>
      </c>
      <c r="E540" s="512"/>
      <c r="F540" s="500"/>
      <c r="G540" s="519" t="s">
        <v>30</v>
      </c>
      <c r="H540" s="522" t="s">
        <v>38</v>
      </c>
      <c r="I540" s="277" t="s">
        <v>39</v>
      </c>
      <c r="J540" s="277" t="s">
        <v>39</v>
      </c>
      <c r="K540" s="277" t="s">
        <v>39</v>
      </c>
      <c r="L540" s="277" t="s">
        <v>39</v>
      </c>
      <c r="M540" s="277" t="s">
        <v>39</v>
      </c>
      <c r="N540" s="525" t="s">
        <v>40</v>
      </c>
      <c r="O540" s="58"/>
    </row>
    <row r="541" spans="1:19" x14ac:dyDescent="0.2">
      <c r="C541" s="510"/>
      <c r="D541" s="513"/>
      <c r="E541" s="514"/>
      <c r="F541" s="515"/>
      <c r="G541" s="520"/>
      <c r="H541" s="523"/>
      <c r="I541" s="12" t="str">
        <f>D534</f>
        <v>FORTALEZA</v>
      </c>
      <c r="J541" s="12" t="str">
        <f>D535</f>
        <v>ABSOLUTA</v>
      </c>
      <c r="K541" s="12" t="str">
        <f>D536</f>
        <v>ENGEGRAN</v>
      </c>
      <c r="L541" s="12">
        <f>D537</f>
        <v>0</v>
      </c>
      <c r="M541" s="12">
        <f>D538</f>
        <v>0</v>
      </c>
      <c r="N541" s="526"/>
      <c r="O541" s="58"/>
    </row>
    <row r="542" spans="1:19" ht="15" customHeight="1" x14ac:dyDescent="0.2">
      <c r="C542" s="510"/>
      <c r="D542" s="513"/>
      <c r="E542" s="514"/>
      <c r="F542" s="515"/>
      <c r="G542" s="520"/>
      <c r="H542" s="523"/>
      <c r="I542" s="528" t="s">
        <v>41</v>
      </c>
      <c r="J542" s="528" t="s">
        <v>41</v>
      </c>
      <c r="K542" s="528" t="s">
        <v>41</v>
      </c>
      <c r="L542" s="528" t="s">
        <v>41</v>
      </c>
      <c r="M542" s="528" t="s">
        <v>41</v>
      </c>
      <c r="N542" s="526"/>
      <c r="O542" s="58"/>
    </row>
    <row r="543" spans="1:19" ht="15.75" thickBot="1" x14ac:dyDescent="0.25">
      <c r="C543" s="511"/>
      <c r="D543" s="516"/>
      <c r="E543" s="517"/>
      <c r="F543" s="518"/>
      <c r="G543" s="521"/>
      <c r="H543" s="524"/>
      <c r="I543" s="529"/>
      <c r="J543" s="529"/>
      <c r="K543" s="529"/>
      <c r="L543" s="529"/>
      <c r="M543" s="529"/>
      <c r="N543" s="527"/>
      <c r="O543" s="58"/>
    </row>
    <row r="544" spans="1:19" ht="15.75" thickBot="1" x14ac:dyDescent="0.25">
      <c r="O544" s="58"/>
      <c r="P544" s="200" t="s">
        <v>79</v>
      </c>
      <c r="Q544" s="200" t="s">
        <v>89</v>
      </c>
      <c r="R544" s="200" t="s">
        <v>90</v>
      </c>
    </row>
    <row r="545" spans="1:22" s="67" customFormat="1" x14ac:dyDescent="0.2">
      <c r="A545" s="86"/>
      <c r="B545" s="86"/>
      <c r="C545" s="68"/>
      <c r="D545" s="503"/>
      <c r="E545" s="504"/>
      <c r="F545" s="505"/>
      <c r="G545" s="69"/>
      <c r="H545" s="69"/>
      <c r="I545" s="70"/>
      <c r="J545" s="70"/>
      <c r="K545" s="70"/>
      <c r="L545" s="70"/>
      <c r="M545" s="70"/>
      <c r="N545" s="71"/>
      <c r="O545" s="72"/>
      <c r="P545" s="53"/>
      <c r="Q545" s="17"/>
      <c r="R545" s="17"/>
      <c r="S545" s="73"/>
    </row>
    <row r="546" spans="1:22" ht="33" customHeight="1" x14ac:dyDescent="0.2">
      <c r="B546" s="83" t="s">
        <v>1373</v>
      </c>
      <c r="C546" s="74">
        <v>1</v>
      </c>
      <c r="D546" s="506" t="str">
        <f>IFERROR(VLOOKUP(B546,Fontes!$A$9:$AC$6124,2,FALSE),0)</f>
        <v>Execução de piso nivelado a laser</v>
      </c>
      <c r="E546" s="507">
        <f>IFERROR(VLOOKUP(D546,Planilha!$B$10:$AC$943,4,FALSE),0)</f>
        <v>0</v>
      </c>
      <c r="F546" s="508">
        <f>IFERROR(VLOOKUP(E546,Planilha!$B$10:$AC$943,4,FALSE),0)</f>
        <v>0</v>
      </c>
      <c r="G546" s="75" t="str">
        <f>IFERROR(VLOOKUP(B546,Fontes!$A$9:$AC$6124,3,FALSE),0)</f>
        <v>m2</v>
      </c>
      <c r="H546" s="76">
        <v>1</v>
      </c>
      <c r="I546" s="77">
        <v>66</v>
      </c>
      <c r="J546" s="77">
        <v>52</v>
      </c>
      <c r="K546" s="77">
        <v>45</v>
      </c>
      <c r="L546" s="77"/>
      <c r="M546" s="77"/>
      <c r="N546" s="78">
        <f>IFERROR(+AVERAGE(I546,J546,K546,L546,M546),0)</f>
        <v>54.333333333333336</v>
      </c>
      <c r="O546" s="58"/>
      <c r="P546" s="18">
        <f>N546</f>
        <v>54.333333333333336</v>
      </c>
      <c r="Q546" s="18"/>
      <c r="R546" s="18"/>
      <c r="U546" s="53"/>
      <c r="V546" s="18"/>
    </row>
    <row r="547" spans="1:22" ht="24.95" customHeight="1" x14ac:dyDescent="0.2">
      <c r="C547" s="74"/>
      <c r="D547" s="506"/>
      <c r="E547" s="507"/>
      <c r="F547" s="508"/>
      <c r="G547" s="75"/>
      <c r="H547" s="76"/>
      <c r="I547" s="77"/>
      <c r="J547" s="278"/>
      <c r="K547" s="278"/>
      <c r="L547" s="77"/>
      <c r="M547" s="77"/>
      <c r="N547" s="78"/>
      <c r="O547" s="58"/>
      <c r="P547" s="18"/>
      <c r="Q547" s="18"/>
      <c r="R547" s="18"/>
      <c r="U547" s="53"/>
      <c r="V547" s="18"/>
    </row>
    <row r="548" spans="1:22" ht="24.95" customHeight="1" x14ac:dyDescent="0.2">
      <c r="C548" s="74"/>
      <c r="D548" s="506"/>
      <c r="E548" s="507"/>
      <c r="F548" s="508"/>
      <c r="G548" s="75"/>
      <c r="H548" s="76"/>
      <c r="I548" s="77"/>
      <c r="J548" s="278"/>
      <c r="K548" s="278"/>
      <c r="L548" s="77"/>
      <c r="M548" s="77"/>
      <c r="N548" s="78"/>
      <c r="O548" s="58"/>
      <c r="P548" s="18"/>
      <c r="Q548" s="18"/>
      <c r="R548" s="18"/>
      <c r="U548" s="53"/>
      <c r="V548" s="18"/>
    </row>
    <row r="549" spans="1:22" ht="24.95" customHeight="1" x14ac:dyDescent="0.2">
      <c r="C549" s="74"/>
      <c r="D549" s="506"/>
      <c r="E549" s="507"/>
      <c r="F549" s="508"/>
      <c r="G549" s="75"/>
      <c r="H549" s="76"/>
      <c r="I549" s="77"/>
      <c r="J549" s="278"/>
      <c r="K549" s="278"/>
      <c r="L549" s="77"/>
      <c r="M549" s="77"/>
      <c r="N549" s="78"/>
      <c r="O549" s="58"/>
      <c r="P549" s="18"/>
      <c r="Q549" s="18"/>
      <c r="R549" s="18"/>
      <c r="U549" s="53"/>
      <c r="V549" s="18"/>
    </row>
    <row r="550" spans="1:22" ht="24.95" customHeight="1" x14ac:dyDescent="0.2">
      <c r="C550" s="74"/>
      <c r="D550" s="506"/>
      <c r="E550" s="507"/>
      <c r="F550" s="508"/>
      <c r="G550" s="75"/>
      <c r="H550" s="76"/>
      <c r="I550" s="77"/>
      <c r="J550" s="77"/>
      <c r="K550" s="77"/>
      <c r="L550" s="77"/>
      <c r="M550" s="77"/>
      <c r="N550" s="78"/>
      <c r="O550" s="58"/>
      <c r="P550" s="18"/>
      <c r="Q550" s="18"/>
      <c r="R550" s="18"/>
      <c r="U550" s="53"/>
      <c r="V550" s="18"/>
    </row>
    <row r="551" spans="1:22" ht="24.95" customHeight="1" x14ac:dyDescent="0.2">
      <c r="C551" s="74"/>
      <c r="D551" s="506"/>
      <c r="E551" s="507"/>
      <c r="F551" s="508"/>
      <c r="G551" s="75"/>
      <c r="H551" s="76"/>
      <c r="I551" s="77"/>
      <c r="J551" s="77"/>
      <c r="K551" s="77"/>
      <c r="L551" s="77"/>
      <c r="M551" s="77"/>
      <c r="N551" s="78"/>
      <c r="O551" s="58"/>
      <c r="P551" s="18"/>
      <c r="Q551" s="18"/>
      <c r="R551" s="18"/>
      <c r="U551" s="53"/>
      <c r="V551" s="18"/>
    </row>
    <row r="552" spans="1:22" ht="24.95" customHeight="1" x14ac:dyDescent="0.2">
      <c r="C552" s="74"/>
      <c r="D552" s="506"/>
      <c r="E552" s="507"/>
      <c r="F552" s="508"/>
      <c r="G552" s="75"/>
      <c r="H552" s="76"/>
      <c r="I552" s="77"/>
      <c r="J552" s="77"/>
      <c r="K552" s="77"/>
      <c r="L552" s="77"/>
      <c r="M552" s="77"/>
      <c r="N552" s="78"/>
      <c r="O552" s="58"/>
      <c r="P552" s="18"/>
      <c r="Q552" s="18"/>
      <c r="R552" s="18"/>
      <c r="U552" s="53"/>
      <c r="V552" s="18"/>
    </row>
    <row r="553" spans="1:22" ht="24.95" customHeight="1" x14ac:dyDescent="0.2">
      <c r="C553" s="74"/>
      <c r="D553" s="506"/>
      <c r="E553" s="507"/>
      <c r="F553" s="508"/>
      <c r="G553" s="75"/>
      <c r="H553" s="76"/>
      <c r="I553" s="77"/>
      <c r="J553" s="77"/>
      <c r="K553" s="77"/>
      <c r="L553" s="77"/>
      <c r="M553" s="77"/>
      <c r="N553" s="78"/>
      <c r="O553" s="58"/>
      <c r="P553" s="18"/>
      <c r="Q553" s="18"/>
      <c r="R553" s="18"/>
      <c r="U553" s="53"/>
      <c r="V553" s="18"/>
    </row>
    <row r="554" spans="1:22" ht="15.75" thickBot="1" x14ac:dyDescent="0.25">
      <c r="C554" s="79"/>
      <c r="D554" s="493"/>
      <c r="E554" s="494"/>
      <c r="F554" s="495"/>
      <c r="G554" s="80"/>
      <c r="H554" s="80"/>
      <c r="I554" s="81"/>
      <c r="J554" s="81"/>
      <c r="K554" s="81"/>
      <c r="L554" s="81"/>
      <c r="M554" s="81"/>
      <c r="N554" s="82"/>
      <c r="O554" s="58"/>
    </row>
    <row r="555" spans="1:22" x14ac:dyDescent="0.2">
      <c r="O555" s="58"/>
    </row>
    <row r="556" spans="1:22" ht="15.75" thickBot="1" x14ac:dyDescent="0.25">
      <c r="O556" s="58"/>
    </row>
    <row r="557" spans="1:22" s="49" customFormat="1" ht="15.75" thickBot="1" x14ac:dyDescent="0.25">
      <c r="A557" s="87"/>
      <c r="B557" s="87"/>
      <c r="C557" s="46" t="s">
        <v>42</v>
      </c>
      <c r="D557" s="47"/>
      <c r="E557" s="47"/>
      <c r="F557" s="47"/>
      <c r="G557" s="47"/>
      <c r="H557" s="48"/>
      <c r="I557" s="48"/>
      <c r="J557" s="48"/>
      <c r="K557" s="48"/>
      <c r="L557" s="48"/>
      <c r="M557" s="48"/>
      <c r="N557" s="48"/>
      <c r="O557" s="58"/>
      <c r="S557" s="50"/>
    </row>
    <row r="558" spans="1:22" s="49" customFormat="1" ht="12.75" x14ac:dyDescent="0.2">
      <c r="A558" s="87"/>
      <c r="B558" s="87"/>
      <c r="C558" s="496"/>
      <c r="D558" s="496"/>
      <c r="E558" s="496"/>
      <c r="F558" s="496"/>
      <c r="G558" s="496"/>
      <c r="H558" s="496"/>
      <c r="I558" s="496"/>
      <c r="J558" s="496"/>
      <c r="K558" s="496"/>
      <c r="L558" s="496"/>
      <c r="M558" s="496"/>
      <c r="N558" s="496"/>
      <c r="O558" s="59"/>
      <c r="S558" s="50"/>
    </row>
    <row r="559" spans="1:22" s="49" customFormat="1" ht="12.75" x14ac:dyDescent="0.2">
      <c r="A559" s="87"/>
      <c r="B559" s="87"/>
      <c r="C559" s="497"/>
      <c r="D559" s="497"/>
      <c r="E559" s="497"/>
      <c r="F559" s="497"/>
      <c r="G559" s="497"/>
      <c r="H559" s="497"/>
      <c r="I559" s="497"/>
      <c r="J559" s="497"/>
      <c r="K559" s="497"/>
      <c r="L559" s="497"/>
      <c r="M559" s="497"/>
      <c r="N559" s="497"/>
      <c r="O559" s="59"/>
      <c r="S559" s="50"/>
    </row>
    <row r="560" spans="1:22" s="49" customFormat="1" ht="12.75" x14ac:dyDescent="0.2">
      <c r="A560" s="87"/>
      <c r="B560" s="87"/>
      <c r="C560" s="497"/>
      <c r="D560" s="497"/>
      <c r="E560" s="497"/>
      <c r="F560" s="497"/>
      <c r="G560" s="497"/>
      <c r="H560" s="497"/>
      <c r="I560" s="497"/>
      <c r="J560" s="497"/>
      <c r="K560" s="497"/>
      <c r="L560" s="497"/>
      <c r="M560" s="497"/>
      <c r="N560" s="497"/>
      <c r="O560" s="59"/>
      <c r="S560" s="50"/>
    </row>
    <row r="561" spans="1:19" s="49" customFormat="1" ht="12.75" x14ac:dyDescent="0.2">
      <c r="A561" s="87"/>
      <c r="B561" s="87"/>
      <c r="C561" s="497"/>
      <c r="D561" s="497"/>
      <c r="E561" s="497"/>
      <c r="F561" s="497"/>
      <c r="G561" s="497"/>
      <c r="H561" s="497"/>
      <c r="I561" s="497"/>
      <c r="J561" s="497"/>
      <c r="K561" s="497"/>
      <c r="L561" s="497"/>
      <c r="M561" s="497"/>
      <c r="N561" s="497"/>
      <c r="O561" s="59"/>
      <c r="S561" s="50"/>
    </row>
    <row r="562" spans="1:19" s="49" customFormat="1" ht="13.5" thickBot="1" x14ac:dyDescent="0.25">
      <c r="A562" s="87"/>
      <c r="B562" s="87"/>
      <c r="C562" s="498"/>
      <c r="D562" s="498"/>
      <c r="E562" s="498"/>
      <c r="F562" s="498"/>
      <c r="G562" s="498"/>
      <c r="H562" s="498"/>
      <c r="I562" s="498"/>
      <c r="J562" s="498"/>
      <c r="K562" s="498"/>
      <c r="L562" s="498"/>
      <c r="M562" s="498"/>
      <c r="N562" s="498"/>
      <c r="O562" s="59"/>
      <c r="S562" s="50"/>
    </row>
    <row r="563" spans="1:19" s="10" customFormat="1" ht="12" thickBot="1" x14ac:dyDescent="0.25">
      <c r="C563" s="6"/>
      <c r="D563" s="6"/>
      <c r="E563" s="6"/>
      <c r="F563" s="7"/>
      <c r="G563" s="8"/>
      <c r="H563" s="8"/>
      <c r="I563" s="9"/>
      <c r="N563" s="4"/>
      <c r="O563" s="55"/>
      <c r="S563" s="11"/>
    </row>
    <row r="564" spans="1:19" s="34" customFormat="1" ht="16.5" thickBot="1" x14ac:dyDescent="0.25">
      <c r="A564" s="84"/>
      <c r="B564" s="84"/>
      <c r="C564" s="30">
        <v>16</v>
      </c>
      <c r="D564" s="31" t="s">
        <v>1871</v>
      </c>
      <c r="E564" s="32"/>
      <c r="F564" s="32"/>
      <c r="G564" s="32"/>
      <c r="H564" s="32"/>
      <c r="I564" s="32"/>
      <c r="J564" s="32"/>
      <c r="K564" s="32"/>
      <c r="L564" s="32"/>
      <c r="M564" s="32"/>
      <c r="N564" s="33"/>
      <c r="O564" s="56"/>
      <c r="S564" s="35"/>
    </row>
    <row r="565" spans="1:19" s="40" customFormat="1" ht="16.5" customHeight="1" thickBot="1" x14ac:dyDescent="0.25">
      <c r="A565" s="85"/>
      <c r="B565" s="85"/>
      <c r="C565" s="36" t="s">
        <v>1016</v>
      </c>
      <c r="D565" s="37" t="s">
        <v>1870</v>
      </c>
      <c r="E565" s="38"/>
      <c r="F565" s="38"/>
      <c r="G565" s="38"/>
      <c r="H565" s="38"/>
      <c r="I565" s="38"/>
      <c r="J565" s="38"/>
      <c r="K565" s="38"/>
      <c r="L565" s="38"/>
      <c r="M565" s="38"/>
      <c r="N565" s="39"/>
      <c r="O565" s="57"/>
      <c r="S565" s="41"/>
    </row>
    <row r="566" spans="1:19" s="10" customFormat="1" ht="12" thickBot="1" x14ac:dyDescent="0.25">
      <c r="C566" s="6"/>
      <c r="D566" s="6"/>
      <c r="E566" s="6"/>
      <c r="F566" s="7"/>
      <c r="G566" s="8"/>
      <c r="H566" s="8"/>
      <c r="I566" s="9"/>
      <c r="M566" s="4"/>
      <c r="N566" s="5"/>
      <c r="O566" s="55"/>
      <c r="S566" s="11"/>
    </row>
    <row r="567" spans="1:19" ht="18.75" thickTop="1" thickBot="1" x14ac:dyDescent="0.25">
      <c r="C567" s="66" t="s">
        <v>34</v>
      </c>
      <c r="D567" s="530" t="s">
        <v>1388</v>
      </c>
      <c r="E567" s="531"/>
      <c r="F567" s="532"/>
      <c r="G567" s="533" t="s">
        <v>35</v>
      </c>
      <c r="H567" s="534"/>
      <c r="I567" s="44" t="s">
        <v>1389</v>
      </c>
      <c r="J567" s="66" t="s">
        <v>36</v>
      </c>
      <c r="K567" s="535" t="s">
        <v>1390</v>
      </c>
      <c r="L567" s="536"/>
      <c r="M567" s="66" t="s">
        <v>37</v>
      </c>
      <c r="N567" s="45">
        <v>44709</v>
      </c>
      <c r="O567" s="58"/>
    </row>
    <row r="568" spans="1:19" ht="18.75" thickTop="1" thickBot="1" x14ac:dyDescent="0.25">
      <c r="C568" s="66" t="s">
        <v>34</v>
      </c>
      <c r="D568" s="537"/>
      <c r="E568" s="538"/>
      <c r="F568" s="539"/>
      <c r="G568" s="540" t="s">
        <v>35</v>
      </c>
      <c r="H568" s="541"/>
      <c r="I568" s="42"/>
      <c r="J568" s="66" t="s">
        <v>36</v>
      </c>
      <c r="K568" s="542"/>
      <c r="L568" s="543"/>
      <c r="M568" s="66" t="s">
        <v>37</v>
      </c>
      <c r="N568" s="43"/>
      <c r="O568" s="58"/>
    </row>
    <row r="569" spans="1:19" ht="18.75" thickTop="1" thickBot="1" x14ac:dyDescent="0.25">
      <c r="C569" s="66" t="s">
        <v>34</v>
      </c>
      <c r="D569" s="530"/>
      <c r="E569" s="531"/>
      <c r="F569" s="532"/>
      <c r="G569" s="533" t="s">
        <v>35</v>
      </c>
      <c r="H569" s="534"/>
      <c r="I569" s="44"/>
      <c r="J569" s="66" t="s">
        <v>36</v>
      </c>
      <c r="K569" s="535"/>
      <c r="L569" s="536"/>
      <c r="M569" s="66" t="s">
        <v>37</v>
      </c>
      <c r="N569" s="45"/>
      <c r="O569" s="58"/>
    </row>
    <row r="570" spans="1:19" ht="18.75" thickTop="1" thickBot="1" x14ac:dyDescent="0.25">
      <c r="C570" s="66" t="s">
        <v>34</v>
      </c>
      <c r="D570" s="530"/>
      <c r="E570" s="531"/>
      <c r="F570" s="532"/>
      <c r="G570" s="533" t="s">
        <v>35</v>
      </c>
      <c r="H570" s="534"/>
      <c r="I570" s="44"/>
      <c r="J570" s="66" t="s">
        <v>36</v>
      </c>
      <c r="K570" s="535"/>
      <c r="L570" s="536"/>
      <c r="M570" s="66" t="s">
        <v>37</v>
      </c>
      <c r="N570" s="45"/>
      <c r="O570" s="58"/>
    </row>
    <row r="571" spans="1:19" ht="18.75" thickTop="1" thickBot="1" x14ac:dyDescent="0.25">
      <c r="C571" s="66" t="s">
        <v>34</v>
      </c>
      <c r="D571" s="530"/>
      <c r="E571" s="531"/>
      <c r="F571" s="532"/>
      <c r="G571" s="533" t="s">
        <v>35</v>
      </c>
      <c r="H571" s="534"/>
      <c r="I571" s="44"/>
      <c r="J571" s="66" t="s">
        <v>36</v>
      </c>
      <c r="K571" s="535"/>
      <c r="L571" s="536"/>
      <c r="M571" s="66" t="s">
        <v>37</v>
      </c>
      <c r="N571" s="45"/>
      <c r="O571" s="58"/>
    </row>
    <row r="572" spans="1:19" ht="16.5" thickTop="1" thickBot="1" x14ac:dyDescent="0.25">
      <c r="O572" s="58"/>
    </row>
    <row r="573" spans="1:19" ht="15" customHeight="1" x14ac:dyDescent="0.2">
      <c r="C573" s="509" t="s">
        <v>19</v>
      </c>
      <c r="D573" s="499" t="s">
        <v>7</v>
      </c>
      <c r="E573" s="512"/>
      <c r="F573" s="500"/>
      <c r="G573" s="519" t="s">
        <v>30</v>
      </c>
      <c r="H573" s="522" t="s">
        <v>38</v>
      </c>
      <c r="I573" s="290" t="s">
        <v>39</v>
      </c>
      <c r="J573" s="290" t="s">
        <v>39</v>
      </c>
      <c r="K573" s="290" t="s">
        <v>39</v>
      </c>
      <c r="L573" s="290" t="s">
        <v>39</v>
      </c>
      <c r="M573" s="290" t="s">
        <v>39</v>
      </c>
      <c r="N573" s="525" t="s">
        <v>40</v>
      </c>
      <c r="O573" s="58"/>
    </row>
    <row r="574" spans="1:19" x14ac:dyDescent="0.2">
      <c r="C574" s="510"/>
      <c r="D574" s="513"/>
      <c r="E574" s="514"/>
      <c r="F574" s="515"/>
      <c r="G574" s="520"/>
      <c r="H574" s="523"/>
      <c r="I574" s="12" t="str">
        <f>D567</f>
        <v>EVF</v>
      </c>
      <c r="J574" s="12">
        <f>D568</f>
        <v>0</v>
      </c>
      <c r="K574" s="12">
        <f>D569</f>
        <v>0</v>
      </c>
      <c r="L574" s="12">
        <f>D570</f>
        <v>0</v>
      </c>
      <c r="M574" s="12">
        <f>D571</f>
        <v>0</v>
      </c>
      <c r="N574" s="526"/>
      <c r="O574" s="58"/>
    </row>
    <row r="575" spans="1:19" ht="15" customHeight="1" x14ac:dyDescent="0.2">
      <c r="C575" s="510"/>
      <c r="D575" s="513"/>
      <c r="E575" s="514"/>
      <c r="F575" s="515"/>
      <c r="G575" s="520"/>
      <c r="H575" s="523"/>
      <c r="I575" s="528" t="s">
        <v>41</v>
      </c>
      <c r="J575" s="528" t="s">
        <v>41</v>
      </c>
      <c r="K575" s="528" t="s">
        <v>41</v>
      </c>
      <c r="L575" s="528" t="s">
        <v>41</v>
      </c>
      <c r="M575" s="528" t="s">
        <v>41</v>
      </c>
      <c r="N575" s="526"/>
      <c r="O575" s="58"/>
    </row>
    <row r="576" spans="1:19" ht="15.75" thickBot="1" x14ac:dyDescent="0.25">
      <c r="C576" s="511"/>
      <c r="D576" s="516"/>
      <c r="E576" s="517"/>
      <c r="F576" s="518"/>
      <c r="G576" s="521"/>
      <c r="H576" s="524"/>
      <c r="I576" s="529"/>
      <c r="J576" s="529"/>
      <c r="K576" s="529"/>
      <c r="L576" s="529"/>
      <c r="M576" s="529"/>
      <c r="N576" s="527"/>
      <c r="O576" s="58"/>
    </row>
    <row r="577" spans="1:22" ht="15.75" thickBot="1" x14ac:dyDescent="0.25">
      <c r="O577" s="58"/>
      <c r="P577" s="200" t="s">
        <v>79</v>
      </c>
      <c r="Q577" s="200" t="s">
        <v>89</v>
      </c>
      <c r="R577" s="200" t="s">
        <v>90</v>
      </c>
    </row>
    <row r="578" spans="1:22" s="67" customFormat="1" x14ac:dyDescent="0.2">
      <c r="A578" s="86"/>
      <c r="B578" s="86"/>
      <c r="C578" s="68"/>
      <c r="D578" s="503"/>
      <c r="E578" s="504"/>
      <c r="F578" s="505"/>
      <c r="G578" s="69"/>
      <c r="H578" s="69"/>
      <c r="I578" s="70"/>
      <c r="J578" s="70"/>
      <c r="K578" s="70"/>
      <c r="L578" s="70"/>
      <c r="M578" s="70"/>
      <c r="N578" s="71"/>
      <c r="O578" s="72"/>
      <c r="P578" s="53"/>
      <c r="Q578" s="17"/>
      <c r="R578" s="17"/>
      <c r="S578" s="73"/>
    </row>
    <row r="579" spans="1:22" ht="33" customHeight="1" x14ac:dyDescent="0.2">
      <c r="B579" s="83" t="s">
        <v>1374</v>
      </c>
      <c r="C579" s="74">
        <v>1</v>
      </c>
      <c r="D579" s="506" t="str">
        <f>IFERROR(VLOOKUP(B579,Fontes!$A$9:$AC$6124,2,FALSE),0)</f>
        <v>Corrimão duplo para parede em aço galvanizado</v>
      </c>
      <c r="E579" s="507">
        <f>IFERROR(VLOOKUP(D579,Planilha!$B$10:$AC$943,4,FALSE),0)</f>
        <v>0</v>
      </c>
      <c r="F579" s="508">
        <f>IFERROR(VLOOKUP(E579,Planilha!$B$10:$AC$943,4,FALSE),0)</f>
        <v>0</v>
      </c>
      <c r="G579" s="75" t="str">
        <f>IFERROR(VLOOKUP(B579,Fontes!$A$9:$AC$6124,3,FALSE),0)</f>
        <v>m</v>
      </c>
      <c r="H579" s="76">
        <v>1</v>
      </c>
      <c r="I579" s="77">
        <v>350</v>
      </c>
      <c r="J579" s="77"/>
      <c r="K579" s="77"/>
      <c r="L579" s="77"/>
      <c r="M579" s="77"/>
      <c r="N579" s="78">
        <f>IFERROR(+AVERAGE(I579,J579,K579,L579,M579),0)</f>
        <v>350</v>
      </c>
      <c r="O579" s="58"/>
      <c r="P579" s="18"/>
      <c r="Q579" s="18">
        <f>N579</f>
        <v>350</v>
      </c>
      <c r="R579" s="18"/>
      <c r="U579" s="53"/>
      <c r="V579" s="18"/>
    </row>
    <row r="580" spans="1:22" ht="24.95" customHeight="1" x14ac:dyDescent="0.2">
      <c r="B580" s="83" t="s">
        <v>1375</v>
      </c>
      <c r="C580" s="74">
        <v>2</v>
      </c>
      <c r="D580" s="506" t="str">
        <f>IFERROR(VLOOKUP(B580,Fontes!$A$9:$AC$6124,2,FALSE),0)</f>
        <v>Corrimão duplo em aço inox polido para instalação em guarda corpo de vidro</v>
      </c>
      <c r="E580" s="507">
        <f>IFERROR(VLOOKUP(D580,Planilha!$B$10:$AC$943,4,FALSE),0)</f>
        <v>0</v>
      </c>
      <c r="F580" s="508">
        <f>IFERROR(VLOOKUP(E580,Planilha!$B$10:$AC$943,4,FALSE),0)</f>
        <v>0</v>
      </c>
      <c r="G580" s="75" t="str">
        <f>IFERROR(VLOOKUP(B580,Fontes!$A$9:$AC$6124,3,FALSE),0)</f>
        <v>m</v>
      </c>
      <c r="H580" s="76">
        <v>1</v>
      </c>
      <c r="I580" s="77">
        <v>600</v>
      </c>
      <c r="J580" s="77"/>
      <c r="K580" s="77"/>
      <c r="L580" s="77"/>
      <c r="M580" s="77"/>
      <c r="N580" s="78">
        <f t="shared" ref="N580:N582" si="37">IFERROR(+AVERAGE(I580,J580,K580,L580,M580),0)</f>
        <v>600</v>
      </c>
      <c r="O580" s="58"/>
      <c r="P580" s="18"/>
      <c r="Q580" s="18">
        <f t="shared" ref="Q580:Q583" si="38">N580</f>
        <v>600</v>
      </c>
      <c r="R580" s="18"/>
      <c r="U580" s="53"/>
      <c r="V580" s="18"/>
    </row>
    <row r="581" spans="1:22" ht="24.95" customHeight="1" x14ac:dyDescent="0.2">
      <c r="B581" s="83" t="s">
        <v>1376</v>
      </c>
      <c r="C581" s="74">
        <v>3</v>
      </c>
      <c r="D581" s="506" t="str">
        <f>IFERROR(VLOOKUP(B581,Fontes!$A$9:$AC$6124,2,FALSE),0)</f>
        <v>Guarda corpo em vidro laminado e temperado e= 12 mm, h= 1,18 m com afastamento de 0,11 m do piso, instalação reta</v>
      </c>
      <c r="E581" s="507">
        <f>IFERROR(VLOOKUP(D581,Planilha!$B$10:$AC$943,4,FALSE),0)</f>
        <v>0</v>
      </c>
      <c r="F581" s="508">
        <f>IFERROR(VLOOKUP(E581,Planilha!$B$10:$AC$943,4,FALSE),0)</f>
        <v>0</v>
      </c>
      <c r="G581" s="75" t="str">
        <f>IFERROR(VLOOKUP(B581,Fontes!$A$9:$AC$6124,3,FALSE),0)</f>
        <v>m</v>
      </c>
      <c r="H581" s="76">
        <v>1</v>
      </c>
      <c r="I581" s="77">
        <v>1200</v>
      </c>
      <c r="J581" s="77"/>
      <c r="K581" s="77"/>
      <c r="L581" s="77"/>
      <c r="M581" s="77"/>
      <c r="N581" s="78">
        <f t="shared" si="37"/>
        <v>1200</v>
      </c>
      <c r="O581" s="58"/>
      <c r="P581" s="18"/>
      <c r="Q581" s="18">
        <f t="shared" si="38"/>
        <v>1200</v>
      </c>
      <c r="R581" s="18"/>
      <c r="U581" s="53"/>
      <c r="V581" s="18"/>
    </row>
    <row r="582" spans="1:22" ht="24.95" customHeight="1" x14ac:dyDescent="0.2">
      <c r="B582" s="83" t="s">
        <v>1377</v>
      </c>
      <c r="C582" s="74">
        <v>4</v>
      </c>
      <c r="D582" s="506" t="str">
        <f>IFERROR(VLOOKUP(B582,Fontes!$A$9:$AC$6124,2,FALSE),0)</f>
        <v>Guarda corpo em vidro laminado e temperado e= 12 mm, h= 1,18 m com afastamento de 0,11 m do piso, instalação inclinada</v>
      </c>
      <c r="E582" s="507">
        <f>IFERROR(VLOOKUP(D582,Planilha!$B$10:$AC$943,4,FALSE),0)</f>
        <v>0</v>
      </c>
      <c r="F582" s="508">
        <f>IFERROR(VLOOKUP(E582,Planilha!$B$10:$AC$943,4,FALSE),0)</f>
        <v>0</v>
      </c>
      <c r="G582" s="75" t="str">
        <f>IFERROR(VLOOKUP(B582,Fontes!$A$9:$AC$6124,3,FALSE),0)</f>
        <v>m</v>
      </c>
      <c r="H582" s="76">
        <v>1</v>
      </c>
      <c r="I582" s="77">
        <v>1400</v>
      </c>
      <c r="J582" s="77"/>
      <c r="K582" s="77"/>
      <c r="L582" s="77"/>
      <c r="M582" s="77"/>
      <c r="N582" s="78">
        <f t="shared" si="37"/>
        <v>1400</v>
      </c>
      <c r="O582" s="58"/>
      <c r="P582" s="18"/>
      <c r="Q582" s="18">
        <f t="shared" si="38"/>
        <v>1400</v>
      </c>
      <c r="R582" s="18"/>
      <c r="U582" s="53"/>
      <c r="V582" s="18"/>
    </row>
    <row r="583" spans="1:22" ht="24.95" customHeight="1" x14ac:dyDescent="0.2">
      <c r="B583" s="83" t="s">
        <v>1378</v>
      </c>
      <c r="C583" s="74">
        <v>4</v>
      </c>
      <c r="D583" s="506" t="str">
        <f>IFERROR(VLOOKUP(B583,Fontes!$A$9:$AC$6124,2,FALSE),0)</f>
        <v>Guarda corpo com corrimão duplo para instalação em rampas PNE nos pavimentos</v>
      </c>
      <c r="E583" s="507">
        <f>IFERROR(VLOOKUP(D583,Planilha!$B$10:$AC$943,4,FALSE),0)</f>
        <v>0</v>
      </c>
      <c r="F583" s="508">
        <f>IFERROR(VLOOKUP(E583,Planilha!$B$10:$AC$943,4,FALSE),0)</f>
        <v>0</v>
      </c>
      <c r="G583" s="75" t="str">
        <f>IFERROR(VLOOKUP(B583,Fontes!$A$9:$AC$6124,3,FALSE),0)</f>
        <v>m</v>
      </c>
      <c r="H583" s="76">
        <v>1</v>
      </c>
      <c r="I583" s="77">
        <v>1100</v>
      </c>
      <c r="J583" s="77"/>
      <c r="K583" s="77"/>
      <c r="L583" s="77"/>
      <c r="M583" s="77"/>
      <c r="N583" s="78">
        <f t="shared" ref="N583" si="39">IFERROR(+AVERAGE(I583,J583,K583,L583,M583),0)</f>
        <v>1100</v>
      </c>
      <c r="O583" s="58"/>
      <c r="P583" s="18"/>
      <c r="Q583" s="18">
        <f t="shared" si="38"/>
        <v>1100</v>
      </c>
      <c r="R583" s="18"/>
      <c r="U583" s="53"/>
      <c r="V583" s="18"/>
    </row>
    <row r="584" spans="1:22" ht="24.95" customHeight="1" x14ac:dyDescent="0.2">
      <c r="C584" s="74"/>
      <c r="D584" s="506"/>
      <c r="E584" s="507"/>
      <c r="F584" s="508"/>
      <c r="G584" s="75"/>
      <c r="H584" s="76"/>
      <c r="I584" s="77"/>
      <c r="J584" s="77"/>
      <c r="K584" s="77"/>
      <c r="L584" s="77"/>
      <c r="M584" s="77"/>
      <c r="N584" s="78"/>
      <c r="O584" s="58"/>
      <c r="P584" s="18"/>
      <c r="Q584" s="18"/>
      <c r="R584" s="18"/>
      <c r="U584" s="53"/>
      <c r="V584" s="18"/>
    </row>
    <row r="585" spans="1:22" ht="24.95" customHeight="1" x14ac:dyDescent="0.2">
      <c r="C585" s="74"/>
      <c r="D585" s="506"/>
      <c r="E585" s="507"/>
      <c r="F585" s="508"/>
      <c r="G585" s="75"/>
      <c r="H585" s="76"/>
      <c r="I585" s="77"/>
      <c r="J585" s="77"/>
      <c r="K585" s="77"/>
      <c r="L585" s="77"/>
      <c r="M585" s="77"/>
      <c r="N585" s="78"/>
      <c r="O585" s="58"/>
      <c r="P585" s="18"/>
      <c r="Q585" s="18"/>
      <c r="R585" s="18"/>
      <c r="U585" s="53"/>
      <c r="V585" s="18"/>
    </row>
    <row r="586" spans="1:22" ht="24.95" customHeight="1" x14ac:dyDescent="0.2">
      <c r="C586" s="74"/>
      <c r="D586" s="506"/>
      <c r="E586" s="507"/>
      <c r="F586" s="508"/>
      <c r="G586" s="75"/>
      <c r="H586" s="76"/>
      <c r="I586" s="77"/>
      <c r="J586" s="77"/>
      <c r="K586" s="77"/>
      <c r="L586" s="77"/>
      <c r="M586" s="77"/>
      <c r="N586" s="78"/>
      <c r="O586" s="58"/>
      <c r="P586" s="18"/>
      <c r="Q586" s="18"/>
      <c r="R586" s="18"/>
      <c r="U586" s="53"/>
      <c r="V586" s="18"/>
    </row>
    <row r="587" spans="1:22" ht="15.75" thickBot="1" x14ac:dyDescent="0.25">
      <c r="C587" s="79"/>
      <c r="D587" s="493"/>
      <c r="E587" s="494"/>
      <c r="F587" s="495"/>
      <c r="G587" s="80"/>
      <c r="H587" s="80"/>
      <c r="I587" s="81"/>
      <c r="J587" s="81"/>
      <c r="K587" s="81"/>
      <c r="L587" s="81"/>
      <c r="M587" s="81"/>
      <c r="N587" s="82"/>
      <c r="O587" s="58"/>
    </row>
    <row r="588" spans="1:22" x14ac:dyDescent="0.2">
      <c r="O588" s="58"/>
    </row>
    <row r="589" spans="1:22" ht="15.75" thickBot="1" x14ac:dyDescent="0.25">
      <c r="O589" s="58"/>
    </row>
    <row r="590" spans="1:22" s="49" customFormat="1" ht="15.75" thickBot="1" x14ac:dyDescent="0.25">
      <c r="A590" s="87"/>
      <c r="B590" s="87"/>
      <c r="C590" s="46" t="s">
        <v>42</v>
      </c>
      <c r="D590" s="47"/>
      <c r="E590" s="47"/>
      <c r="F590" s="47"/>
      <c r="G590" s="47"/>
      <c r="H590" s="48"/>
      <c r="I590" s="48"/>
      <c r="J590" s="48"/>
      <c r="K590" s="48"/>
      <c r="L590" s="48"/>
      <c r="M590" s="48"/>
      <c r="N590" s="48"/>
      <c r="O590" s="58"/>
      <c r="S590" s="50"/>
    </row>
    <row r="591" spans="1:22" s="49" customFormat="1" ht="12.75" x14ac:dyDescent="0.2">
      <c r="A591" s="87"/>
      <c r="B591" s="87"/>
      <c r="C591" s="496"/>
      <c r="D591" s="496"/>
      <c r="E591" s="496"/>
      <c r="F591" s="496"/>
      <c r="G591" s="496"/>
      <c r="H591" s="496"/>
      <c r="I591" s="496"/>
      <c r="J591" s="496"/>
      <c r="K591" s="496"/>
      <c r="L591" s="496"/>
      <c r="M591" s="496"/>
      <c r="N591" s="496"/>
      <c r="O591" s="59"/>
      <c r="S591" s="50"/>
    </row>
    <row r="592" spans="1:22" s="49" customFormat="1" ht="12.75" x14ac:dyDescent="0.2">
      <c r="A592" s="87"/>
      <c r="B592" s="87"/>
      <c r="C592" s="497"/>
      <c r="D592" s="497"/>
      <c r="E592" s="497"/>
      <c r="F592" s="497"/>
      <c r="G592" s="497"/>
      <c r="H592" s="497"/>
      <c r="I592" s="497"/>
      <c r="J592" s="497"/>
      <c r="K592" s="497"/>
      <c r="L592" s="497"/>
      <c r="M592" s="497"/>
      <c r="N592" s="497"/>
      <c r="O592" s="59"/>
      <c r="S592" s="50"/>
    </row>
    <row r="593" spans="1:19" s="49" customFormat="1" ht="12.75" x14ac:dyDescent="0.2">
      <c r="A593" s="87"/>
      <c r="B593" s="87"/>
      <c r="C593" s="497"/>
      <c r="D593" s="497"/>
      <c r="E593" s="497"/>
      <c r="F593" s="497"/>
      <c r="G593" s="497"/>
      <c r="H593" s="497"/>
      <c r="I593" s="497"/>
      <c r="J593" s="497"/>
      <c r="K593" s="497"/>
      <c r="L593" s="497"/>
      <c r="M593" s="497"/>
      <c r="N593" s="497"/>
      <c r="O593" s="59"/>
      <c r="S593" s="50"/>
    </row>
    <row r="594" spans="1:19" s="49" customFormat="1" ht="12.75" x14ac:dyDescent="0.2">
      <c r="A594" s="87"/>
      <c r="B594" s="87"/>
      <c r="C594" s="497"/>
      <c r="D594" s="497"/>
      <c r="E594" s="497"/>
      <c r="F594" s="497"/>
      <c r="G594" s="497"/>
      <c r="H594" s="497"/>
      <c r="I594" s="497"/>
      <c r="J594" s="497"/>
      <c r="K594" s="497"/>
      <c r="L594" s="497"/>
      <c r="M594" s="497"/>
      <c r="N594" s="497"/>
      <c r="O594" s="59"/>
      <c r="S594" s="50"/>
    </row>
    <row r="595" spans="1:19" s="49" customFormat="1" ht="13.5" thickBot="1" x14ac:dyDescent="0.25">
      <c r="A595" s="87"/>
      <c r="B595" s="87"/>
      <c r="C595" s="498"/>
      <c r="D595" s="498"/>
      <c r="E595" s="498"/>
      <c r="F595" s="498"/>
      <c r="G595" s="498"/>
      <c r="H595" s="498"/>
      <c r="I595" s="498"/>
      <c r="J595" s="498"/>
      <c r="K595" s="498"/>
      <c r="L595" s="498"/>
      <c r="M595" s="498"/>
      <c r="N595" s="498"/>
      <c r="O595" s="59"/>
      <c r="S595" s="50"/>
    </row>
    <row r="596" spans="1:19" s="10" customFormat="1" ht="12" thickBot="1" x14ac:dyDescent="0.25">
      <c r="C596" s="6"/>
      <c r="D596" s="6"/>
      <c r="E596" s="6"/>
      <c r="F596" s="7"/>
      <c r="G596" s="8"/>
      <c r="H596" s="8"/>
      <c r="I596" s="9"/>
      <c r="N596" s="4"/>
      <c r="O596" s="55"/>
      <c r="S596" s="11"/>
    </row>
    <row r="597" spans="1:19" s="34" customFormat="1" ht="16.5" thickBot="1" x14ac:dyDescent="0.25">
      <c r="A597" s="84"/>
      <c r="B597" s="84"/>
      <c r="C597" s="30">
        <v>17</v>
      </c>
      <c r="D597" s="31" t="s">
        <v>1539</v>
      </c>
      <c r="E597" s="32"/>
      <c r="F597" s="32"/>
      <c r="G597" s="32"/>
      <c r="H597" s="32"/>
      <c r="I597" s="32"/>
      <c r="J597" s="32"/>
      <c r="K597" s="32"/>
      <c r="L597" s="32"/>
      <c r="M597" s="32"/>
      <c r="N597" s="33"/>
      <c r="O597" s="56"/>
      <c r="S597" s="35"/>
    </row>
    <row r="598" spans="1:19" s="40" customFormat="1" ht="16.5" customHeight="1" thickBot="1" x14ac:dyDescent="0.25">
      <c r="A598" s="85"/>
      <c r="B598" s="85"/>
      <c r="C598" s="36" t="s">
        <v>1025</v>
      </c>
      <c r="D598" s="37" t="s">
        <v>2241</v>
      </c>
      <c r="E598" s="38"/>
      <c r="F598" s="38"/>
      <c r="G598" s="38"/>
      <c r="H598" s="38"/>
      <c r="I598" s="38"/>
      <c r="J598" s="38"/>
      <c r="K598" s="38"/>
      <c r="L598" s="38"/>
      <c r="M598" s="38"/>
      <c r="N598" s="39"/>
      <c r="O598" s="57"/>
      <c r="S598" s="41"/>
    </row>
    <row r="599" spans="1:19" s="10" customFormat="1" ht="12" thickBot="1" x14ac:dyDescent="0.25">
      <c r="C599" s="6"/>
      <c r="D599" s="6"/>
      <c r="E599" s="6"/>
      <c r="F599" s="7"/>
      <c r="G599" s="8"/>
      <c r="H599" s="8"/>
      <c r="I599" s="9"/>
      <c r="M599" s="4"/>
      <c r="N599" s="5"/>
      <c r="O599" s="55"/>
      <c r="S599" s="11"/>
    </row>
    <row r="600" spans="1:19" ht="18.75" thickTop="1" thickBot="1" x14ac:dyDescent="0.25">
      <c r="C600" s="66" t="s">
        <v>34</v>
      </c>
      <c r="D600" s="530" t="s">
        <v>2243</v>
      </c>
      <c r="E600" s="531"/>
      <c r="F600" s="532"/>
      <c r="G600" s="533" t="s">
        <v>35</v>
      </c>
      <c r="H600" s="534"/>
      <c r="I600" s="44" t="s">
        <v>2244</v>
      </c>
      <c r="J600" s="66" t="s">
        <v>36</v>
      </c>
      <c r="K600" s="535" t="s">
        <v>2245</v>
      </c>
      <c r="L600" s="536"/>
      <c r="M600" s="66" t="s">
        <v>37</v>
      </c>
      <c r="N600" s="45">
        <v>44690</v>
      </c>
      <c r="O600" s="58"/>
    </row>
    <row r="601" spans="1:19" ht="18.75" thickTop="1" thickBot="1" x14ac:dyDescent="0.25">
      <c r="C601" s="66" t="s">
        <v>34</v>
      </c>
      <c r="D601" s="537" t="s">
        <v>2261</v>
      </c>
      <c r="E601" s="538"/>
      <c r="F601" s="539"/>
      <c r="G601" s="540" t="s">
        <v>35</v>
      </c>
      <c r="H601" s="541"/>
      <c r="I601" s="42" t="s">
        <v>2262</v>
      </c>
      <c r="J601" s="66" t="s">
        <v>36</v>
      </c>
      <c r="K601" s="542" t="s">
        <v>2263</v>
      </c>
      <c r="L601" s="543"/>
      <c r="M601" s="66" t="s">
        <v>37</v>
      </c>
      <c r="N601" s="43"/>
      <c r="O601" s="58"/>
    </row>
    <row r="602" spans="1:19" ht="18.75" thickTop="1" thickBot="1" x14ac:dyDescent="0.25">
      <c r="C602" s="66" t="s">
        <v>34</v>
      </c>
      <c r="D602" s="530" t="s">
        <v>2264</v>
      </c>
      <c r="E602" s="531"/>
      <c r="F602" s="532"/>
      <c r="G602" s="533" t="s">
        <v>35</v>
      </c>
      <c r="H602" s="534"/>
      <c r="I602" s="44" t="s">
        <v>2265</v>
      </c>
      <c r="J602" s="66" t="s">
        <v>36</v>
      </c>
      <c r="K602" s="535" t="s">
        <v>2266</v>
      </c>
      <c r="L602" s="536"/>
      <c r="M602" s="66" t="s">
        <v>37</v>
      </c>
      <c r="N602" s="45"/>
      <c r="O602" s="58"/>
    </row>
    <row r="603" spans="1:19" ht="18.75" thickTop="1" thickBot="1" x14ac:dyDescent="0.25">
      <c r="C603" s="66" t="s">
        <v>34</v>
      </c>
      <c r="D603" s="530" t="s">
        <v>2267</v>
      </c>
      <c r="E603" s="531"/>
      <c r="F603" s="532"/>
      <c r="G603" s="533" t="s">
        <v>35</v>
      </c>
      <c r="H603" s="534"/>
      <c r="I603" s="44" t="s">
        <v>2268</v>
      </c>
      <c r="J603" s="66" t="s">
        <v>36</v>
      </c>
      <c r="K603" s="535" t="s">
        <v>2269</v>
      </c>
      <c r="L603" s="536"/>
      <c r="M603" s="66" t="s">
        <v>37</v>
      </c>
      <c r="N603" s="45"/>
      <c r="O603" s="58"/>
    </row>
    <row r="604" spans="1:19" ht="18.75" thickTop="1" thickBot="1" x14ac:dyDescent="0.25">
      <c r="C604" s="66" t="s">
        <v>34</v>
      </c>
      <c r="D604" s="530" t="s">
        <v>2270</v>
      </c>
      <c r="E604" s="531"/>
      <c r="F604" s="532"/>
      <c r="G604" s="533" t="s">
        <v>35</v>
      </c>
      <c r="H604" s="534"/>
      <c r="I604" s="44" t="s">
        <v>2271</v>
      </c>
      <c r="J604" s="66" t="s">
        <v>36</v>
      </c>
      <c r="K604" s="535" t="s">
        <v>2272</v>
      </c>
      <c r="L604" s="536"/>
      <c r="M604" s="66" t="s">
        <v>37</v>
      </c>
      <c r="N604" s="45"/>
      <c r="O604" s="58"/>
    </row>
    <row r="605" spans="1:19" ht="16.5" thickTop="1" thickBot="1" x14ac:dyDescent="0.25">
      <c r="O605" s="58"/>
    </row>
    <row r="606" spans="1:19" ht="15" customHeight="1" x14ac:dyDescent="0.2">
      <c r="C606" s="509" t="s">
        <v>19</v>
      </c>
      <c r="D606" s="499" t="s">
        <v>7</v>
      </c>
      <c r="E606" s="512"/>
      <c r="F606" s="500"/>
      <c r="G606" s="519" t="s">
        <v>30</v>
      </c>
      <c r="H606" s="522" t="s">
        <v>38</v>
      </c>
      <c r="I606" s="377" t="s">
        <v>39</v>
      </c>
      <c r="J606" s="377" t="s">
        <v>39</v>
      </c>
      <c r="K606" s="377" t="s">
        <v>39</v>
      </c>
      <c r="L606" s="377" t="s">
        <v>39</v>
      </c>
      <c r="M606" s="377" t="s">
        <v>39</v>
      </c>
      <c r="N606" s="525" t="s">
        <v>40</v>
      </c>
      <c r="O606" s="58"/>
    </row>
    <row r="607" spans="1:19" x14ac:dyDescent="0.2">
      <c r="C607" s="510"/>
      <c r="D607" s="513"/>
      <c r="E607" s="514"/>
      <c r="F607" s="515"/>
      <c r="G607" s="520"/>
      <c r="H607" s="523"/>
      <c r="I607" s="12" t="str">
        <f>D600</f>
        <v>BLUESOL</v>
      </c>
      <c r="J607" s="12" t="str">
        <f>D601</f>
        <v>KINSOL</v>
      </c>
      <c r="K607" s="12" t="str">
        <f>D602</f>
        <v>ECOMATIZE</v>
      </c>
      <c r="L607" s="12" t="str">
        <f>D603</f>
        <v>SOLARON</v>
      </c>
      <c r="M607" s="12" t="str">
        <f>D604</f>
        <v>SOLARIS</v>
      </c>
      <c r="N607" s="526"/>
      <c r="O607" s="58"/>
    </row>
    <row r="608" spans="1:19" ht="15" customHeight="1" x14ac:dyDescent="0.2">
      <c r="C608" s="510"/>
      <c r="D608" s="513"/>
      <c r="E608" s="514"/>
      <c r="F608" s="515"/>
      <c r="G608" s="520"/>
      <c r="H608" s="523"/>
      <c r="I608" s="528" t="s">
        <v>41</v>
      </c>
      <c r="J608" s="528" t="s">
        <v>41</v>
      </c>
      <c r="K608" s="528" t="s">
        <v>41</v>
      </c>
      <c r="L608" s="528" t="s">
        <v>41</v>
      </c>
      <c r="M608" s="528" t="s">
        <v>41</v>
      </c>
      <c r="N608" s="526"/>
      <c r="O608" s="58"/>
    </row>
    <row r="609" spans="1:22" ht="15.75" thickBot="1" x14ac:dyDescent="0.25">
      <c r="C609" s="511"/>
      <c r="D609" s="516"/>
      <c r="E609" s="517"/>
      <c r="F609" s="518"/>
      <c r="G609" s="521"/>
      <c r="H609" s="524"/>
      <c r="I609" s="529"/>
      <c r="J609" s="529"/>
      <c r="K609" s="529"/>
      <c r="L609" s="529"/>
      <c r="M609" s="529"/>
      <c r="N609" s="527"/>
      <c r="O609" s="58"/>
    </row>
    <row r="610" spans="1:22" ht="15.75" thickBot="1" x14ac:dyDescent="0.25">
      <c r="O610" s="58"/>
      <c r="P610" s="200" t="s">
        <v>79</v>
      </c>
      <c r="Q610" s="200" t="s">
        <v>89</v>
      </c>
      <c r="R610" s="200" t="s">
        <v>90</v>
      </c>
    </row>
    <row r="611" spans="1:22" s="67" customFormat="1" x14ac:dyDescent="0.2">
      <c r="A611" s="86"/>
      <c r="B611" s="86"/>
      <c r="C611" s="68"/>
      <c r="D611" s="503"/>
      <c r="E611" s="504"/>
      <c r="F611" s="505"/>
      <c r="G611" s="69"/>
      <c r="H611" s="69"/>
      <c r="I611" s="70"/>
      <c r="J611" s="70"/>
      <c r="K611" s="70"/>
      <c r="L611" s="70"/>
      <c r="M611" s="70"/>
      <c r="N611" s="71"/>
      <c r="O611" s="72"/>
      <c r="P611" s="53"/>
      <c r="Q611" s="17"/>
      <c r="R611" s="17"/>
      <c r="S611" s="73"/>
    </row>
    <row r="612" spans="1:22" ht="33" customHeight="1" x14ac:dyDescent="0.2">
      <c r="B612" s="83" t="s">
        <v>1379</v>
      </c>
      <c r="C612" s="74">
        <v>1</v>
      </c>
      <c r="D612" s="506" t="str">
        <f>IFERROR(VLOOKUP(B612,Fontes!$A$9:$AC$6124,2,FALSE),0)</f>
        <v>Fornecimento e instalação de sistema fotovoltaico 38,70 kWp composto dos equipamentos e materiais abaixo relacionados</v>
      </c>
      <c r="E612" s="507">
        <f>IFERROR(VLOOKUP(D612,Planilha!$B$10:$AC$943,4,FALSE),0)</f>
        <v>0</v>
      </c>
      <c r="F612" s="508">
        <f>IFERROR(VLOOKUP(E612,Planilha!$B$10:$AC$943,4,FALSE),0)</f>
        <v>0</v>
      </c>
      <c r="G612" s="75" t="str">
        <f>IFERROR(VLOOKUP(B612,Fontes!$A$9:$AC$6124,3,FALSE),0)</f>
        <v>cj</v>
      </c>
      <c r="H612" s="76">
        <v>1</v>
      </c>
      <c r="I612" s="77">
        <v>150753.04999999999</v>
      </c>
      <c r="J612" s="77"/>
      <c r="K612" s="77"/>
      <c r="L612" s="77"/>
      <c r="M612" s="77"/>
      <c r="N612" s="78">
        <f>IFERROR(+AVERAGE(I612,J612,K612,L612,M612),0)</f>
        <v>150753.04999999999</v>
      </c>
      <c r="O612" s="58"/>
      <c r="P612" s="18"/>
      <c r="Q612" s="18">
        <f>N612</f>
        <v>150753.04999999999</v>
      </c>
      <c r="R612" s="18"/>
      <c r="U612" s="53"/>
      <c r="V612" s="18"/>
    </row>
    <row r="613" spans="1:22" ht="24.95" customHeight="1" x14ac:dyDescent="0.2">
      <c r="C613" s="74"/>
      <c r="D613" s="506"/>
      <c r="E613" s="507"/>
      <c r="F613" s="508"/>
      <c r="G613" s="75"/>
      <c r="H613" s="76"/>
      <c r="I613" s="77"/>
      <c r="J613" s="77"/>
      <c r="K613" s="77"/>
      <c r="L613" s="77"/>
      <c r="M613" s="77"/>
      <c r="N613" s="78"/>
      <c r="O613" s="58"/>
      <c r="P613" s="18"/>
      <c r="Q613" s="18"/>
      <c r="R613" s="18"/>
      <c r="U613" s="53"/>
      <c r="V613" s="18"/>
    </row>
    <row r="614" spans="1:22" ht="24.95" customHeight="1" x14ac:dyDescent="0.2">
      <c r="C614" s="74"/>
      <c r="D614" s="506"/>
      <c r="E614" s="507"/>
      <c r="F614" s="508"/>
      <c r="G614" s="75"/>
      <c r="H614" s="76"/>
      <c r="I614" s="77"/>
      <c r="J614" s="77"/>
      <c r="K614" s="77"/>
      <c r="L614" s="77"/>
      <c r="M614" s="77"/>
      <c r="N614" s="78"/>
      <c r="O614" s="58"/>
      <c r="P614" s="18"/>
      <c r="Q614" s="18"/>
      <c r="R614" s="18"/>
      <c r="U614" s="53"/>
      <c r="V614" s="18"/>
    </row>
    <row r="615" spans="1:22" ht="24.95" customHeight="1" x14ac:dyDescent="0.2">
      <c r="C615" s="74"/>
      <c r="D615" s="506"/>
      <c r="E615" s="507"/>
      <c r="F615" s="508"/>
      <c r="G615" s="75"/>
      <c r="H615" s="76"/>
      <c r="I615" s="77"/>
      <c r="J615" s="77"/>
      <c r="K615" s="77"/>
      <c r="L615" s="77"/>
      <c r="M615" s="77"/>
      <c r="N615" s="78"/>
      <c r="O615" s="58"/>
      <c r="P615" s="18"/>
      <c r="Q615" s="18"/>
      <c r="R615" s="18"/>
      <c r="U615" s="53"/>
      <c r="V615" s="18"/>
    </row>
    <row r="616" spans="1:22" ht="24.95" customHeight="1" x14ac:dyDescent="0.2">
      <c r="C616" s="74"/>
      <c r="D616" s="506"/>
      <c r="E616" s="507"/>
      <c r="F616" s="508"/>
      <c r="G616" s="75"/>
      <c r="H616" s="76"/>
      <c r="I616" s="77"/>
      <c r="J616" s="77"/>
      <c r="K616" s="77"/>
      <c r="L616" s="77"/>
      <c r="M616" s="77"/>
      <c r="N616" s="78"/>
      <c r="O616" s="58"/>
      <c r="P616" s="18"/>
      <c r="Q616" s="18"/>
      <c r="R616" s="18"/>
      <c r="U616" s="53"/>
      <c r="V616" s="18"/>
    </row>
    <row r="617" spans="1:22" ht="24.95" customHeight="1" x14ac:dyDescent="0.2">
      <c r="C617" s="74"/>
      <c r="D617" s="506"/>
      <c r="E617" s="507"/>
      <c r="F617" s="508"/>
      <c r="G617" s="75"/>
      <c r="H617" s="76"/>
      <c r="I617" s="77"/>
      <c r="J617" s="77"/>
      <c r="K617" s="77"/>
      <c r="L617" s="77"/>
      <c r="M617" s="77"/>
      <c r="N617" s="78"/>
      <c r="O617" s="58"/>
      <c r="P617" s="18"/>
      <c r="Q617" s="18"/>
      <c r="R617" s="18"/>
      <c r="U617" s="53"/>
      <c r="V617" s="18"/>
    </row>
    <row r="618" spans="1:22" ht="24.95" customHeight="1" x14ac:dyDescent="0.2">
      <c r="C618" s="74"/>
      <c r="D618" s="506"/>
      <c r="E618" s="507"/>
      <c r="F618" s="508"/>
      <c r="G618" s="75"/>
      <c r="H618" s="76"/>
      <c r="I618" s="77"/>
      <c r="J618" s="77"/>
      <c r="K618" s="77"/>
      <c r="L618" s="77"/>
      <c r="M618" s="77"/>
      <c r="N618" s="78"/>
      <c r="O618" s="58"/>
      <c r="P618" s="18"/>
      <c r="Q618" s="18"/>
      <c r="R618" s="18"/>
      <c r="U618" s="53"/>
      <c r="V618" s="18"/>
    </row>
    <row r="619" spans="1:22" ht="24.95" customHeight="1" x14ac:dyDescent="0.2">
      <c r="C619" s="74"/>
      <c r="D619" s="506"/>
      <c r="E619" s="507"/>
      <c r="F619" s="508"/>
      <c r="G619" s="75"/>
      <c r="H619" s="76"/>
      <c r="I619" s="77"/>
      <c r="J619" s="77"/>
      <c r="K619" s="77"/>
      <c r="L619" s="77"/>
      <c r="M619" s="77"/>
      <c r="N619" s="78"/>
      <c r="O619" s="58"/>
      <c r="P619" s="18"/>
      <c r="Q619" s="18"/>
      <c r="R619" s="18"/>
      <c r="U619" s="53"/>
      <c r="V619" s="18"/>
    </row>
    <row r="620" spans="1:22" ht="15.75" thickBot="1" x14ac:dyDescent="0.25">
      <c r="C620" s="79"/>
      <c r="D620" s="493"/>
      <c r="E620" s="494"/>
      <c r="F620" s="495"/>
      <c r="G620" s="80"/>
      <c r="H620" s="80"/>
      <c r="I620" s="81"/>
      <c r="J620" s="81"/>
      <c r="K620" s="81"/>
      <c r="L620" s="81"/>
      <c r="M620" s="81"/>
      <c r="N620" s="82"/>
      <c r="O620" s="58"/>
    </row>
    <row r="621" spans="1:22" x14ac:dyDescent="0.2">
      <c r="O621" s="58"/>
    </row>
    <row r="622" spans="1:22" ht="15.75" thickBot="1" x14ac:dyDescent="0.25">
      <c r="O622" s="58"/>
    </row>
    <row r="623" spans="1:22" s="49" customFormat="1" ht="15.75" thickBot="1" x14ac:dyDescent="0.25">
      <c r="A623" s="87"/>
      <c r="B623" s="87"/>
      <c r="C623" s="46" t="s">
        <v>42</v>
      </c>
      <c r="D623" s="47"/>
      <c r="E623" s="47"/>
      <c r="F623" s="47"/>
      <c r="G623" s="47"/>
      <c r="H623" s="48"/>
      <c r="I623" s="48"/>
      <c r="J623" s="48"/>
      <c r="K623" s="48"/>
      <c r="L623" s="48"/>
      <c r="M623" s="48"/>
      <c r="N623" s="48"/>
      <c r="O623" s="58"/>
      <c r="S623" s="50"/>
    </row>
    <row r="624" spans="1:22" s="49" customFormat="1" ht="13.5" thickBot="1" x14ac:dyDescent="0.25">
      <c r="A624" s="87"/>
      <c r="B624" s="87"/>
      <c r="C624" s="496" t="s">
        <v>2273</v>
      </c>
      <c r="D624" s="496"/>
      <c r="E624" s="496"/>
      <c r="F624" s="496"/>
      <c r="G624" s="496"/>
      <c r="H624" s="496"/>
      <c r="I624" s="496"/>
      <c r="J624" s="496"/>
      <c r="K624" s="496"/>
      <c r="L624" s="496"/>
      <c r="M624" s="496"/>
      <c r="N624" s="496"/>
      <c r="O624" s="59"/>
      <c r="S624" s="50"/>
    </row>
    <row r="625" spans="1:19" s="49" customFormat="1" ht="12.75" x14ac:dyDescent="0.2">
      <c r="A625" s="87"/>
      <c r="B625" s="87"/>
      <c r="C625" s="496" t="s">
        <v>2274</v>
      </c>
      <c r="D625" s="496"/>
      <c r="E625" s="496"/>
      <c r="F625" s="496"/>
      <c r="G625" s="496"/>
      <c r="H625" s="496"/>
      <c r="I625" s="496"/>
      <c r="J625" s="496"/>
      <c r="K625" s="496"/>
      <c r="L625" s="496"/>
      <c r="M625" s="496"/>
      <c r="N625" s="496"/>
      <c r="O625" s="59"/>
      <c r="S625" s="50"/>
    </row>
    <row r="626" spans="1:19" s="49" customFormat="1" ht="12.75" x14ac:dyDescent="0.2">
      <c r="A626" s="87"/>
      <c r="B626" s="87"/>
      <c r="C626" s="497"/>
      <c r="D626" s="497"/>
      <c r="E626" s="497"/>
      <c r="F626" s="497"/>
      <c r="G626" s="497"/>
      <c r="H626" s="497"/>
      <c r="I626" s="497"/>
      <c r="J626" s="497"/>
      <c r="K626" s="497"/>
      <c r="L626" s="497"/>
      <c r="M626" s="497"/>
      <c r="N626" s="497"/>
      <c r="O626" s="59"/>
      <c r="S626" s="50"/>
    </row>
    <row r="627" spans="1:19" s="49" customFormat="1" ht="12.75" x14ac:dyDescent="0.2">
      <c r="A627" s="87"/>
      <c r="B627" s="87"/>
      <c r="C627" s="497"/>
      <c r="D627" s="497"/>
      <c r="E627" s="497"/>
      <c r="F627" s="497"/>
      <c r="G627" s="497"/>
      <c r="H627" s="497"/>
      <c r="I627" s="497"/>
      <c r="J627" s="497"/>
      <c r="K627" s="497"/>
      <c r="L627" s="497"/>
      <c r="M627" s="497"/>
      <c r="N627" s="497"/>
      <c r="O627" s="59"/>
      <c r="S627" s="50"/>
    </row>
    <row r="628" spans="1:19" s="49" customFormat="1" ht="13.5" thickBot="1" x14ac:dyDescent="0.25">
      <c r="A628" s="87"/>
      <c r="B628" s="87"/>
      <c r="C628" s="498"/>
      <c r="D628" s="498"/>
      <c r="E628" s="498"/>
      <c r="F628" s="498"/>
      <c r="G628" s="498"/>
      <c r="H628" s="498"/>
      <c r="I628" s="498"/>
      <c r="J628" s="498"/>
      <c r="K628" s="498"/>
      <c r="L628" s="498"/>
      <c r="M628" s="498"/>
      <c r="N628" s="498"/>
      <c r="O628" s="59"/>
      <c r="S628" s="50"/>
    </row>
    <row r="629" spans="1:19" ht="15.75" thickBot="1" x14ac:dyDescent="0.25"/>
    <row r="630" spans="1:19" s="34" customFormat="1" ht="16.5" thickBot="1" x14ac:dyDescent="0.25">
      <c r="A630" s="84"/>
      <c r="B630" s="84"/>
      <c r="C630" s="30">
        <v>18</v>
      </c>
      <c r="D630" s="31" t="s">
        <v>1539</v>
      </c>
      <c r="E630" s="32"/>
      <c r="F630" s="32"/>
      <c r="G630" s="32"/>
      <c r="H630" s="32"/>
      <c r="I630" s="32"/>
      <c r="J630" s="32"/>
      <c r="K630" s="32"/>
      <c r="L630" s="32"/>
      <c r="M630" s="32"/>
      <c r="N630" s="33"/>
      <c r="O630" s="56"/>
      <c r="S630" s="35"/>
    </row>
    <row r="631" spans="1:19" s="40" customFormat="1" ht="16.5" customHeight="1" thickBot="1" x14ac:dyDescent="0.25">
      <c r="A631" s="85"/>
      <c r="B631" s="85"/>
      <c r="C631" s="36" t="s">
        <v>1049</v>
      </c>
      <c r="D631" s="37" t="s">
        <v>2295</v>
      </c>
      <c r="E631" s="38"/>
      <c r="F631" s="38"/>
      <c r="G631" s="38"/>
      <c r="H631" s="38"/>
      <c r="I631" s="38"/>
      <c r="J631" s="38"/>
      <c r="K631" s="38"/>
      <c r="L631" s="38"/>
      <c r="M631" s="38"/>
      <c r="N631" s="39"/>
      <c r="O631" s="57"/>
      <c r="S631" s="41"/>
    </row>
    <row r="632" spans="1:19" s="10" customFormat="1" ht="12" thickBot="1" x14ac:dyDescent="0.25">
      <c r="C632" s="6"/>
      <c r="D632" s="6"/>
      <c r="E632" s="6"/>
      <c r="F632" s="7"/>
      <c r="G632" s="8"/>
      <c r="H632" s="8"/>
      <c r="I632" s="9"/>
      <c r="M632" s="4"/>
      <c r="N632" s="5"/>
      <c r="O632" s="55"/>
      <c r="S632" s="11"/>
    </row>
    <row r="633" spans="1:19" ht="18.75" thickTop="1" thickBot="1" x14ac:dyDescent="0.25">
      <c r="C633" s="66" t="s">
        <v>34</v>
      </c>
      <c r="D633" s="530" t="s">
        <v>2296</v>
      </c>
      <c r="E633" s="531"/>
      <c r="F633" s="532"/>
      <c r="G633" s="533" t="s">
        <v>35</v>
      </c>
      <c r="H633" s="534"/>
      <c r="I633" s="44" t="s">
        <v>2297</v>
      </c>
      <c r="J633" s="66" t="s">
        <v>36</v>
      </c>
      <c r="K633" s="535" t="s">
        <v>2298</v>
      </c>
      <c r="L633" s="536"/>
      <c r="M633" s="66" t="s">
        <v>37</v>
      </c>
      <c r="N633" s="45">
        <v>44746</v>
      </c>
      <c r="O633" s="58"/>
    </row>
    <row r="634" spans="1:19" ht="18.75" thickTop="1" thickBot="1" x14ac:dyDescent="0.25">
      <c r="C634" s="66" t="s">
        <v>34</v>
      </c>
      <c r="D634" s="537"/>
      <c r="E634" s="538"/>
      <c r="F634" s="539"/>
      <c r="G634" s="540" t="s">
        <v>35</v>
      </c>
      <c r="H634" s="541"/>
      <c r="I634" s="42"/>
      <c r="J634" s="66" t="s">
        <v>36</v>
      </c>
      <c r="K634" s="542"/>
      <c r="L634" s="543"/>
      <c r="M634" s="66" t="s">
        <v>37</v>
      </c>
      <c r="N634" s="43"/>
      <c r="O634" s="58"/>
    </row>
    <row r="635" spans="1:19" ht="18.75" thickTop="1" thickBot="1" x14ac:dyDescent="0.25">
      <c r="C635" s="66" t="s">
        <v>34</v>
      </c>
      <c r="D635" s="530"/>
      <c r="E635" s="531"/>
      <c r="F635" s="532"/>
      <c r="G635" s="533" t="s">
        <v>35</v>
      </c>
      <c r="H635" s="534"/>
      <c r="I635" s="44"/>
      <c r="J635" s="66" t="s">
        <v>36</v>
      </c>
      <c r="K635" s="535"/>
      <c r="L635" s="536"/>
      <c r="M635" s="66" t="s">
        <v>37</v>
      </c>
      <c r="N635" s="45"/>
      <c r="O635" s="58"/>
    </row>
    <row r="636" spans="1:19" ht="18.75" thickTop="1" thickBot="1" x14ac:dyDescent="0.25">
      <c r="C636" s="66" t="s">
        <v>34</v>
      </c>
      <c r="D636" s="530"/>
      <c r="E636" s="531"/>
      <c r="F636" s="532"/>
      <c r="G636" s="533" t="s">
        <v>35</v>
      </c>
      <c r="H636" s="534"/>
      <c r="I636" s="44"/>
      <c r="J636" s="66" t="s">
        <v>36</v>
      </c>
      <c r="K636" s="535"/>
      <c r="L636" s="536"/>
      <c r="M636" s="66" t="s">
        <v>37</v>
      </c>
      <c r="N636" s="45"/>
      <c r="O636" s="58"/>
    </row>
    <row r="637" spans="1:19" ht="18.75" thickTop="1" thickBot="1" x14ac:dyDescent="0.25">
      <c r="C637" s="66" t="s">
        <v>34</v>
      </c>
      <c r="D637" s="530"/>
      <c r="E637" s="531"/>
      <c r="F637" s="532"/>
      <c r="G637" s="533" t="s">
        <v>35</v>
      </c>
      <c r="H637" s="534"/>
      <c r="I637" s="44"/>
      <c r="J637" s="66" t="s">
        <v>36</v>
      </c>
      <c r="K637" s="535"/>
      <c r="L637" s="536"/>
      <c r="M637" s="66" t="s">
        <v>37</v>
      </c>
      <c r="N637" s="45"/>
      <c r="O637" s="58"/>
    </row>
    <row r="638" spans="1:19" ht="16.5" thickTop="1" thickBot="1" x14ac:dyDescent="0.25">
      <c r="O638" s="58"/>
    </row>
    <row r="639" spans="1:19" ht="15" customHeight="1" x14ac:dyDescent="0.2">
      <c r="C639" s="509" t="s">
        <v>19</v>
      </c>
      <c r="D639" s="499" t="s">
        <v>7</v>
      </c>
      <c r="E639" s="512"/>
      <c r="F639" s="500"/>
      <c r="G639" s="519" t="s">
        <v>30</v>
      </c>
      <c r="H639" s="522" t="s">
        <v>38</v>
      </c>
      <c r="I639" s="379" t="s">
        <v>39</v>
      </c>
      <c r="J639" s="379" t="s">
        <v>39</v>
      </c>
      <c r="K639" s="379" t="s">
        <v>39</v>
      </c>
      <c r="L639" s="379" t="s">
        <v>39</v>
      </c>
      <c r="M639" s="379" t="s">
        <v>39</v>
      </c>
      <c r="N639" s="525" t="s">
        <v>40</v>
      </c>
      <c r="O639" s="58"/>
    </row>
    <row r="640" spans="1:19" x14ac:dyDescent="0.2">
      <c r="C640" s="510"/>
      <c r="D640" s="513"/>
      <c r="E640" s="514"/>
      <c r="F640" s="515"/>
      <c r="G640" s="520"/>
      <c r="H640" s="523"/>
      <c r="I640" s="12" t="str">
        <f>D633</f>
        <v>INTELBRAS - CIELLUS</v>
      </c>
      <c r="J640" s="12">
        <f>D634</f>
        <v>0</v>
      </c>
      <c r="K640" s="12">
        <f>D635</f>
        <v>0</v>
      </c>
      <c r="L640" s="12">
        <f>D636</f>
        <v>0</v>
      </c>
      <c r="M640" s="12">
        <f>D637</f>
        <v>0</v>
      </c>
      <c r="N640" s="526"/>
      <c r="O640" s="58"/>
    </row>
    <row r="641" spans="1:22" ht="15" customHeight="1" x14ac:dyDescent="0.2">
      <c r="C641" s="510"/>
      <c r="D641" s="513"/>
      <c r="E641" s="514"/>
      <c r="F641" s="515"/>
      <c r="G641" s="520"/>
      <c r="H641" s="523"/>
      <c r="I641" s="528" t="s">
        <v>41</v>
      </c>
      <c r="J641" s="528" t="s">
        <v>41</v>
      </c>
      <c r="K641" s="528" t="s">
        <v>41</v>
      </c>
      <c r="L641" s="528" t="s">
        <v>41</v>
      </c>
      <c r="M641" s="528" t="s">
        <v>41</v>
      </c>
      <c r="N641" s="526"/>
      <c r="O641" s="58"/>
    </row>
    <row r="642" spans="1:22" ht="15.75" thickBot="1" x14ac:dyDescent="0.25">
      <c r="C642" s="511"/>
      <c r="D642" s="516"/>
      <c r="E642" s="517"/>
      <c r="F642" s="518"/>
      <c r="G642" s="521"/>
      <c r="H642" s="524"/>
      <c r="I642" s="529"/>
      <c r="J642" s="529"/>
      <c r="K642" s="529"/>
      <c r="L642" s="529"/>
      <c r="M642" s="529"/>
      <c r="N642" s="527"/>
      <c r="O642" s="58"/>
    </row>
    <row r="643" spans="1:22" ht="15.75" thickBot="1" x14ac:dyDescent="0.25">
      <c r="O643" s="58"/>
      <c r="P643" s="200" t="s">
        <v>79</v>
      </c>
      <c r="Q643" s="200" t="s">
        <v>89</v>
      </c>
      <c r="R643" s="200" t="s">
        <v>90</v>
      </c>
    </row>
    <row r="644" spans="1:22" s="67" customFormat="1" x14ac:dyDescent="0.2">
      <c r="A644" s="86"/>
      <c r="B644" s="86"/>
      <c r="C644" s="68"/>
      <c r="D644" s="503"/>
      <c r="E644" s="504"/>
      <c r="F644" s="505"/>
      <c r="G644" s="69"/>
      <c r="H644" s="69"/>
      <c r="I644" s="70"/>
      <c r="J644" s="70"/>
      <c r="K644" s="70"/>
      <c r="L644" s="70"/>
      <c r="M644" s="70"/>
      <c r="N644" s="71"/>
      <c r="O644" s="72"/>
      <c r="P644" s="53"/>
      <c r="Q644" s="17"/>
      <c r="R644" s="17"/>
      <c r="S644" s="73"/>
    </row>
    <row r="645" spans="1:22" ht="33" customHeight="1" x14ac:dyDescent="0.2">
      <c r="B645" s="83" t="s">
        <v>1380</v>
      </c>
      <c r="C645" s="74">
        <v>1</v>
      </c>
      <c r="D645" s="506" t="str">
        <f>IFERROR(VLOOKUP(B645,Fontes!$A$9:$AC$6124,2,FALSE),0)</f>
        <v>Servidor de gravação com 32 canais de entrada, referencia NVC 7132 da Intelbrás ou equivalente</v>
      </c>
      <c r="E645" s="507">
        <f>IFERROR(VLOOKUP(D645,Planilha!$B$10:$AC$943,4,FALSE),0)</f>
        <v>0</v>
      </c>
      <c r="F645" s="508">
        <f>IFERROR(VLOOKUP(E645,Planilha!$B$10:$AC$943,4,FALSE),0)</f>
        <v>0</v>
      </c>
      <c r="G645" s="75" t="str">
        <f>IFERROR(VLOOKUP(B645,Fontes!$A$9:$AC$6124,3,FALSE),0)</f>
        <v>un</v>
      </c>
      <c r="H645" s="76">
        <v>1</v>
      </c>
      <c r="I645" s="77">
        <v>5819.98</v>
      </c>
      <c r="J645" s="77"/>
      <c r="K645" s="77"/>
      <c r="L645" s="77"/>
      <c r="M645" s="77"/>
      <c r="N645" s="78">
        <f>IFERROR(+AVERAGE(I645,J645,K645,L645,M645),0)</f>
        <v>5819.98</v>
      </c>
      <c r="O645" s="58"/>
      <c r="P645" s="18"/>
      <c r="Q645" s="18">
        <f>N645</f>
        <v>5819.98</v>
      </c>
      <c r="R645" s="18"/>
      <c r="U645" s="53"/>
      <c r="V645" s="18"/>
    </row>
    <row r="646" spans="1:22" ht="24.95" customHeight="1" x14ac:dyDescent="0.2">
      <c r="C646" s="74"/>
      <c r="D646" s="506"/>
      <c r="E646" s="507"/>
      <c r="F646" s="508"/>
      <c r="G646" s="75"/>
      <c r="H646" s="76"/>
      <c r="I646" s="77"/>
      <c r="J646" s="77"/>
      <c r="K646" s="77"/>
      <c r="L646" s="77"/>
      <c r="M646" s="77"/>
      <c r="N646" s="78"/>
      <c r="O646" s="58"/>
      <c r="P646" s="18"/>
      <c r="Q646" s="18"/>
      <c r="R646" s="18"/>
      <c r="U646" s="53"/>
      <c r="V646" s="18"/>
    </row>
    <row r="647" spans="1:22" ht="24.95" customHeight="1" x14ac:dyDescent="0.2">
      <c r="C647" s="74"/>
      <c r="D647" s="506"/>
      <c r="E647" s="507"/>
      <c r="F647" s="508"/>
      <c r="G647" s="75"/>
      <c r="H647" s="76"/>
      <c r="I647" s="77"/>
      <c r="J647" s="77"/>
      <c r="K647" s="77"/>
      <c r="L647" s="77"/>
      <c r="M647" s="77"/>
      <c r="N647" s="78"/>
      <c r="O647" s="58"/>
      <c r="P647" s="18"/>
      <c r="Q647" s="18"/>
      <c r="R647" s="18"/>
      <c r="U647" s="53"/>
      <c r="V647" s="18"/>
    </row>
    <row r="648" spans="1:22" ht="24.95" customHeight="1" x14ac:dyDescent="0.2">
      <c r="C648" s="74"/>
      <c r="D648" s="506"/>
      <c r="E648" s="507"/>
      <c r="F648" s="508"/>
      <c r="G648" s="75"/>
      <c r="H648" s="76"/>
      <c r="I648" s="77"/>
      <c r="J648" s="77"/>
      <c r="K648" s="77"/>
      <c r="L648" s="77"/>
      <c r="M648" s="77"/>
      <c r="N648" s="78"/>
      <c r="O648" s="58"/>
      <c r="P648" s="18"/>
      <c r="Q648" s="18"/>
      <c r="R648" s="18"/>
      <c r="U648" s="53"/>
      <c r="V648" s="18"/>
    </row>
    <row r="649" spans="1:22" ht="24.95" customHeight="1" x14ac:dyDescent="0.2">
      <c r="C649" s="74"/>
      <c r="D649" s="506"/>
      <c r="E649" s="507"/>
      <c r="F649" s="508"/>
      <c r="G649" s="75"/>
      <c r="H649" s="76"/>
      <c r="I649" s="77"/>
      <c r="J649" s="77"/>
      <c r="K649" s="77"/>
      <c r="L649" s="77"/>
      <c r="M649" s="77"/>
      <c r="N649" s="78"/>
      <c r="O649" s="58"/>
      <c r="P649" s="18"/>
      <c r="Q649" s="18"/>
      <c r="R649" s="18"/>
      <c r="U649" s="53"/>
      <c r="V649" s="18"/>
    </row>
    <row r="650" spans="1:22" ht="24.95" customHeight="1" x14ac:dyDescent="0.2">
      <c r="C650" s="74"/>
      <c r="D650" s="506"/>
      <c r="E650" s="507"/>
      <c r="F650" s="508"/>
      <c r="G650" s="75"/>
      <c r="H650" s="76"/>
      <c r="I650" s="77"/>
      <c r="J650" s="77"/>
      <c r="K650" s="77"/>
      <c r="L650" s="77"/>
      <c r="M650" s="77"/>
      <c r="N650" s="78"/>
      <c r="O650" s="58"/>
      <c r="P650" s="18"/>
      <c r="Q650" s="18"/>
      <c r="R650" s="18"/>
      <c r="U650" s="53"/>
      <c r="V650" s="18"/>
    </row>
    <row r="651" spans="1:22" ht="24.95" customHeight="1" x14ac:dyDescent="0.2">
      <c r="C651" s="74"/>
      <c r="D651" s="506"/>
      <c r="E651" s="507"/>
      <c r="F651" s="508"/>
      <c r="G651" s="75"/>
      <c r="H651" s="76"/>
      <c r="I651" s="77"/>
      <c r="J651" s="77"/>
      <c r="K651" s="77"/>
      <c r="L651" s="77"/>
      <c r="M651" s="77"/>
      <c r="N651" s="78"/>
      <c r="O651" s="58"/>
      <c r="P651" s="18"/>
      <c r="Q651" s="18"/>
      <c r="R651" s="18"/>
      <c r="U651" s="53"/>
      <c r="V651" s="18"/>
    </row>
    <row r="652" spans="1:22" ht="24.95" customHeight="1" x14ac:dyDescent="0.2">
      <c r="C652" s="74"/>
      <c r="D652" s="506"/>
      <c r="E652" s="507"/>
      <c r="F652" s="508"/>
      <c r="G652" s="75"/>
      <c r="H652" s="76"/>
      <c r="I652" s="77"/>
      <c r="J652" s="77"/>
      <c r="K652" s="77"/>
      <c r="L652" s="77"/>
      <c r="M652" s="77"/>
      <c r="N652" s="78"/>
      <c r="O652" s="58"/>
      <c r="P652" s="18"/>
      <c r="Q652" s="18"/>
      <c r="R652" s="18"/>
      <c r="U652" s="53"/>
      <c r="V652" s="18"/>
    </row>
    <row r="653" spans="1:22" ht="15.75" thickBot="1" x14ac:dyDescent="0.25">
      <c r="C653" s="79"/>
      <c r="D653" s="493"/>
      <c r="E653" s="494"/>
      <c r="F653" s="495"/>
      <c r="G653" s="80"/>
      <c r="H653" s="80"/>
      <c r="I653" s="81"/>
      <c r="J653" s="81"/>
      <c r="K653" s="81"/>
      <c r="L653" s="81"/>
      <c r="M653" s="81"/>
      <c r="N653" s="82"/>
      <c r="O653" s="58"/>
    </row>
    <row r="654" spans="1:22" x14ac:dyDescent="0.2">
      <c r="O654" s="58"/>
    </row>
    <row r="655" spans="1:22" ht="15.75" thickBot="1" x14ac:dyDescent="0.25">
      <c r="O655" s="58"/>
    </row>
    <row r="656" spans="1:22" s="49" customFormat="1" ht="15.75" thickBot="1" x14ac:dyDescent="0.25">
      <c r="A656" s="87"/>
      <c r="B656" s="87"/>
      <c r="C656" s="46" t="s">
        <v>42</v>
      </c>
      <c r="D656" s="47"/>
      <c r="E656" s="47"/>
      <c r="F656" s="47"/>
      <c r="G656" s="47"/>
      <c r="H656" s="48"/>
      <c r="I656" s="48"/>
      <c r="J656" s="48"/>
      <c r="K656" s="48"/>
      <c r="L656" s="48"/>
      <c r="M656" s="48"/>
      <c r="N656" s="48"/>
      <c r="O656" s="58"/>
      <c r="S656" s="50"/>
    </row>
    <row r="657" spans="1:19" s="49" customFormat="1" ht="13.5" thickBot="1" x14ac:dyDescent="0.25">
      <c r="A657" s="87"/>
      <c r="B657" s="87"/>
      <c r="C657" s="496"/>
      <c r="D657" s="496"/>
      <c r="E657" s="496"/>
      <c r="F657" s="496"/>
      <c r="G657" s="496"/>
      <c r="H657" s="496"/>
      <c r="I657" s="496"/>
      <c r="J657" s="496"/>
      <c r="K657" s="496"/>
      <c r="L657" s="496"/>
      <c r="M657" s="496"/>
      <c r="N657" s="496"/>
      <c r="O657" s="59"/>
      <c r="S657" s="50"/>
    </row>
    <row r="658" spans="1:19" s="49" customFormat="1" ht="12.75" x14ac:dyDescent="0.2">
      <c r="A658" s="87"/>
      <c r="B658" s="87"/>
      <c r="C658" s="496"/>
      <c r="D658" s="496"/>
      <c r="E658" s="496"/>
      <c r="F658" s="496"/>
      <c r="G658" s="496"/>
      <c r="H658" s="496"/>
      <c r="I658" s="496"/>
      <c r="J658" s="496"/>
      <c r="K658" s="496"/>
      <c r="L658" s="496"/>
      <c r="M658" s="496"/>
      <c r="N658" s="496"/>
      <c r="O658" s="59"/>
      <c r="S658" s="50"/>
    </row>
    <row r="659" spans="1:19" s="49" customFormat="1" ht="12.75" x14ac:dyDescent="0.2">
      <c r="A659" s="87"/>
      <c r="B659" s="87"/>
      <c r="C659" s="497"/>
      <c r="D659" s="497"/>
      <c r="E659" s="497"/>
      <c r="F659" s="497"/>
      <c r="G659" s="497"/>
      <c r="H659" s="497"/>
      <c r="I659" s="497"/>
      <c r="J659" s="497"/>
      <c r="K659" s="497"/>
      <c r="L659" s="497"/>
      <c r="M659" s="497"/>
      <c r="N659" s="497"/>
      <c r="O659" s="59"/>
      <c r="S659" s="50"/>
    </row>
    <row r="660" spans="1:19" s="49" customFormat="1" ht="12.75" x14ac:dyDescent="0.2">
      <c r="A660" s="87"/>
      <c r="B660" s="87"/>
      <c r="C660" s="497"/>
      <c r="D660" s="497"/>
      <c r="E660" s="497"/>
      <c r="F660" s="497"/>
      <c r="G660" s="497"/>
      <c r="H660" s="497"/>
      <c r="I660" s="497"/>
      <c r="J660" s="497"/>
      <c r="K660" s="497"/>
      <c r="L660" s="497"/>
      <c r="M660" s="497"/>
      <c r="N660" s="497"/>
      <c r="O660" s="59"/>
      <c r="S660" s="50"/>
    </row>
    <row r="661" spans="1:19" s="49" customFormat="1" ht="13.5" thickBot="1" x14ac:dyDescent="0.25">
      <c r="A661" s="87"/>
      <c r="B661" s="87"/>
      <c r="C661" s="498"/>
      <c r="D661" s="498"/>
      <c r="E661" s="498"/>
      <c r="F661" s="498"/>
      <c r="G661" s="498"/>
      <c r="H661" s="498"/>
      <c r="I661" s="498"/>
      <c r="J661" s="498"/>
      <c r="K661" s="498"/>
      <c r="L661" s="498"/>
      <c r="M661" s="498"/>
      <c r="N661" s="498"/>
      <c r="O661" s="59"/>
      <c r="S661" s="50"/>
    </row>
    <row r="662" spans="1:19" ht="15.75" thickBot="1" x14ac:dyDescent="0.25"/>
    <row r="663" spans="1:19" s="34" customFormat="1" ht="16.5" thickBot="1" x14ac:dyDescent="0.25">
      <c r="A663" s="84"/>
      <c r="B663" s="84"/>
      <c r="C663" s="30">
        <v>19</v>
      </c>
      <c r="D663" s="31" t="s">
        <v>1539</v>
      </c>
      <c r="E663" s="32"/>
      <c r="F663" s="32"/>
      <c r="G663" s="32"/>
      <c r="H663" s="32"/>
      <c r="I663" s="32"/>
      <c r="J663" s="32"/>
      <c r="K663" s="32"/>
      <c r="L663" s="32"/>
      <c r="M663" s="32"/>
      <c r="N663" s="33"/>
      <c r="O663" s="56"/>
      <c r="S663" s="35"/>
    </row>
    <row r="664" spans="1:19" s="40" customFormat="1" ht="16.5" customHeight="1" thickBot="1" x14ac:dyDescent="0.25">
      <c r="A664" s="85"/>
      <c r="B664" s="85"/>
      <c r="C664" s="36" t="s">
        <v>1052</v>
      </c>
      <c r="D664" s="37" t="s">
        <v>2306</v>
      </c>
      <c r="E664" s="38"/>
      <c r="F664" s="38"/>
      <c r="G664" s="38"/>
      <c r="H664" s="38"/>
      <c r="I664" s="38"/>
      <c r="J664" s="38"/>
      <c r="K664" s="38"/>
      <c r="L664" s="38"/>
      <c r="M664" s="38"/>
      <c r="N664" s="39"/>
      <c r="O664" s="57"/>
      <c r="S664" s="41"/>
    </row>
    <row r="665" spans="1:19" s="10" customFormat="1" ht="12" thickBot="1" x14ac:dyDescent="0.25">
      <c r="C665" s="6"/>
      <c r="D665" s="6"/>
      <c r="E665" s="6"/>
      <c r="F665" s="7"/>
      <c r="G665" s="8"/>
      <c r="H665" s="8"/>
      <c r="I665" s="9"/>
      <c r="M665" s="4"/>
      <c r="N665" s="5"/>
      <c r="O665" s="55"/>
      <c r="S665" s="11"/>
    </row>
    <row r="666" spans="1:19" ht="18.75" thickTop="1" thickBot="1" x14ac:dyDescent="0.25">
      <c r="C666" s="66" t="s">
        <v>34</v>
      </c>
      <c r="D666" s="530" t="s">
        <v>2307</v>
      </c>
      <c r="E666" s="531"/>
      <c r="F666" s="532"/>
      <c r="G666" s="533" t="s">
        <v>35</v>
      </c>
      <c r="H666" s="534"/>
      <c r="I666" s="44" t="s">
        <v>2308</v>
      </c>
      <c r="J666" s="66" t="s">
        <v>36</v>
      </c>
      <c r="K666" s="535" t="s">
        <v>2309</v>
      </c>
      <c r="L666" s="536"/>
      <c r="M666" s="66" t="s">
        <v>37</v>
      </c>
      <c r="N666" s="45">
        <v>44715</v>
      </c>
      <c r="O666" s="58"/>
    </row>
    <row r="667" spans="1:19" ht="18.75" thickTop="1" thickBot="1" x14ac:dyDescent="0.25">
      <c r="C667" s="66" t="s">
        <v>34</v>
      </c>
      <c r="D667" s="537"/>
      <c r="E667" s="538"/>
      <c r="F667" s="539"/>
      <c r="G667" s="540" t="s">
        <v>35</v>
      </c>
      <c r="H667" s="541"/>
      <c r="I667" s="42"/>
      <c r="J667" s="66" t="s">
        <v>36</v>
      </c>
      <c r="K667" s="542"/>
      <c r="L667" s="543"/>
      <c r="M667" s="66" t="s">
        <v>37</v>
      </c>
      <c r="N667" s="43"/>
      <c r="O667" s="58"/>
    </row>
    <row r="668" spans="1:19" ht="18.75" thickTop="1" thickBot="1" x14ac:dyDescent="0.25">
      <c r="C668" s="66" t="s">
        <v>34</v>
      </c>
      <c r="D668" s="530"/>
      <c r="E668" s="531"/>
      <c r="F668" s="532"/>
      <c r="G668" s="533" t="s">
        <v>35</v>
      </c>
      <c r="H668" s="534"/>
      <c r="I668" s="44"/>
      <c r="J668" s="66" t="s">
        <v>36</v>
      </c>
      <c r="K668" s="535"/>
      <c r="L668" s="536"/>
      <c r="M668" s="66" t="s">
        <v>37</v>
      </c>
      <c r="N668" s="45"/>
      <c r="O668" s="58"/>
    </row>
    <row r="669" spans="1:19" ht="18.75" thickTop="1" thickBot="1" x14ac:dyDescent="0.25">
      <c r="C669" s="66" t="s">
        <v>34</v>
      </c>
      <c r="D669" s="530"/>
      <c r="E669" s="531"/>
      <c r="F669" s="532"/>
      <c r="G669" s="533" t="s">
        <v>35</v>
      </c>
      <c r="H669" s="534"/>
      <c r="I669" s="44"/>
      <c r="J669" s="66" t="s">
        <v>36</v>
      </c>
      <c r="K669" s="535"/>
      <c r="L669" s="536"/>
      <c r="M669" s="66" t="s">
        <v>37</v>
      </c>
      <c r="N669" s="45"/>
      <c r="O669" s="58"/>
    </row>
    <row r="670" spans="1:19" ht="18.75" thickTop="1" thickBot="1" x14ac:dyDescent="0.25">
      <c r="C670" s="66" t="s">
        <v>34</v>
      </c>
      <c r="D670" s="530"/>
      <c r="E670" s="531"/>
      <c r="F670" s="532"/>
      <c r="G670" s="533" t="s">
        <v>35</v>
      </c>
      <c r="H670" s="534"/>
      <c r="I670" s="44"/>
      <c r="J670" s="66" t="s">
        <v>36</v>
      </c>
      <c r="K670" s="535"/>
      <c r="L670" s="536"/>
      <c r="M670" s="66" t="s">
        <v>37</v>
      </c>
      <c r="N670" s="45"/>
      <c r="O670" s="58"/>
    </row>
    <row r="671" spans="1:19" ht="16.5" thickTop="1" thickBot="1" x14ac:dyDescent="0.25">
      <c r="O671" s="58"/>
    </row>
    <row r="672" spans="1:19" ht="15" customHeight="1" x14ac:dyDescent="0.2">
      <c r="C672" s="509" t="s">
        <v>19</v>
      </c>
      <c r="D672" s="499" t="s">
        <v>7</v>
      </c>
      <c r="E672" s="512"/>
      <c r="F672" s="500"/>
      <c r="G672" s="519" t="s">
        <v>30</v>
      </c>
      <c r="H672" s="522" t="s">
        <v>38</v>
      </c>
      <c r="I672" s="499" t="s">
        <v>39</v>
      </c>
      <c r="J672" s="500"/>
      <c r="K672" s="379" t="s">
        <v>39</v>
      </c>
      <c r="L672" s="379" t="s">
        <v>39</v>
      </c>
      <c r="M672" s="379" t="s">
        <v>39</v>
      </c>
      <c r="N672" s="525" t="s">
        <v>40</v>
      </c>
      <c r="O672" s="58"/>
    </row>
    <row r="673" spans="1:22" x14ac:dyDescent="0.2">
      <c r="C673" s="510"/>
      <c r="D673" s="513"/>
      <c r="E673" s="514"/>
      <c r="F673" s="515"/>
      <c r="G673" s="520"/>
      <c r="H673" s="523"/>
      <c r="I673" s="501" t="str">
        <f>D666</f>
        <v>Gas Tecnique</v>
      </c>
      <c r="J673" s="502"/>
      <c r="K673" s="12">
        <f>D668</f>
        <v>0</v>
      </c>
      <c r="L673" s="12">
        <f>D669</f>
        <v>0</v>
      </c>
      <c r="M673" s="12">
        <f>D670</f>
        <v>0</v>
      </c>
      <c r="N673" s="526"/>
      <c r="O673" s="58"/>
    </row>
    <row r="674" spans="1:22" ht="15" customHeight="1" x14ac:dyDescent="0.2">
      <c r="C674" s="510"/>
      <c r="D674" s="513"/>
      <c r="E674" s="514"/>
      <c r="F674" s="515"/>
      <c r="G674" s="520"/>
      <c r="H674" s="523"/>
      <c r="I674" s="528" t="s">
        <v>2312</v>
      </c>
      <c r="J674" s="528" t="s">
        <v>2313</v>
      </c>
      <c r="K674" s="528" t="s">
        <v>41</v>
      </c>
      <c r="L674" s="528" t="s">
        <v>41</v>
      </c>
      <c r="M674" s="528" t="s">
        <v>41</v>
      </c>
      <c r="N674" s="526"/>
      <c r="O674" s="58"/>
    </row>
    <row r="675" spans="1:22" ht="15.75" thickBot="1" x14ac:dyDescent="0.25">
      <c r="C675" s="511"/>
      <c r="D675" s="516"/>
      <c r="E675" s="517"/>
      <c r="F675" s="518"/>
      <c r="G675" s="521"/>
      <c r="H675" s="524"/>
      <c r="I675" s="529"/>
      <c r="J675" s="529"/>
      <c r="K675" s="529"/>
      <c r="L675" s="529"/>
      <c r="M675" s="529"/>
      <c r="N675" s="527"/>
      <c r="O675" s="58"/>
    </row>
    <row r="676" spans="1:22" ht="15.75" thickBot="1" x14ac:dyDescent="0.25">
      <c r="O676" s="58"/>
      <c r="P676" s="200" t="s">
        <v>79</v>
      </c>
      <c r="Q676" s="200" t="s">
        <v>89</v>
      </c>
      <c r="R676" s="200" t="s">
        <v>90</v>
      </c>
    </row>
    <row r="677" spans="1:22" s="67" customFormat="1" x14ac:dyDescent="0.2">
      <c r="A677" s="86"/>
      <c r="B677" s="86"/>
      <c r="C677" s="68"/>
      <c r="D677" s="503"/>
      <c r="E677" s="504"/>
      <c r="F677" s="505"/>
      <c r="G677" s="69"/>
      <c r="H677" s="69"/>
      <c r="I677" s="70"/>
      <c r="J677" s="70"/>
      <c r="K677" s="70"/>
      <c r="L677" s="70"/>
      <c r="M677" s="70"/>
      <c r="N677" s="71"/>
      <c r="O677" s="72"/>
      <c r="P677" s="53"/>
      <c r="Q677" s="17"/>
      <c r="R677" s="17"/>
      <c r="S677" s="73"/>
    </row>
    <row r="678" spans="1:22" ht="33" customHeight="1" x14ac:dyDescent="0.2">
      <c r="B678" s="83" t="s">
        <v>2166</v>
      </c>
      <c r="C678" s="74">
        <v>1</v>
      </c>
      <c r="D678" s="506" t="str">
        <f>IFERROR(VLOOKUP(B678,Fontes!$A$9:$AC$6124,2,FALSE),0)</f>
        <v>Ponto de gases especiais + registro de esfera em bronze para gás, Ø ½" - fornecimento e instalação</v>
      </c>
      <c r="E678" s="507">
        <f>IFERROR(VLOOKUP(D678,Planilha!$B$10:$AC$943,4,FALSE),0)</f>
        <v>0</v>
      </c>
      <c r="F678" s="508">
        <f>IFERROR(VLOOKUP(E678,Planilha!$B$10:$AC$943,4,FALSE),0)</f>
        <v>0</v>
      </c>
      <c r="G678" s="75" t="str">
        <f>IFERROR(VLOOKUP(B678,Fontes!$A$9:$AC$6124,3,FALSE),0)</f>
        <v>pt</v>
      </c>
      <c r="H678" s="76">
        <v>1</v>
      </c>
      <c r="I678" s="77">
        <v>5500</v>
      </c>
      <c r="J678" s="77">
        <v>611.11</v>
      </c>
      <c r="K678" s="77"/>
      <c r="L678" s="77"/>
      <c r="M678" s="77"/>
      <c r="N678" s="78">
        <f>I678+J678</f>
        <v>6111.11</v>
      </c>
      <c r="O678" s="58"/>
      <c r="P678" s="18">
        <f>J678</f>
        <v>611.11</v>
      </c>
      <c r="Q678" s="18">
        <f>I678</f>
        <v>5500</v>
      </c>
      <c r="R678" s="18"/>
      <c r="U678" s="53"/>
      <c r="V678" s="18"/>
    </row>
    <row r="679" spans="1:22" ht="24.95" customHeight="1" x14ac:dyDescent="0.2">
      <c r="B679" s="83" t="s">
        <v>2167</v>
      </c>
      <c r="C679" s="74">
        <v>2</v>
      </c>
      <c r="D679" s="506" t="str">
        <f>IFERROR(VLOOKUP(B679,Fontes!$A$9:$AC$6124,2,FALSE),0)</f>
        <v>Cilindro de gás P10</v>
      </c>
      <c r="E679" s="507">
        <f>IFERROR(VLOOKUP(D679,Planilha!$B$10:$AC$943,4,FALSE),0)</f>
        <v>0</v>
      </c>
      <c r="F679" s="508">
        <f>IFERROR(VLOOKUP(E679,Planilha!$B$10:$AC$943,4,FALSE),0)</f>
        <v>0</v>
      </c>
      <c r="G679" s="75" t="str">
        <f>IFERROR(VLOOKUP(B679,Fontes!$A$9:$AC$6124,3,FALSE),0)</f>
        <v>pç</v>
      </c>
      <c r="H679" s="76">
        <v>1</v>
      </c>
      <c r="I679" s="77">
        <v>10000</v>
      </c>
      <c r="J679" s="77">
        <v>916.67</v>
      </c>
      <c r="K679" s="77"/>
      <c r="L679" s="77"/>
      <c r="M679" s="77"/>
      <c r="N679" s="78">
        <f t="shared" ref="N679:N683" si="40">I679+J679</f>
        <v>10916.67</v>
      </c>
      <c r="O679" s="58"/>
      <c r="P679" s="18">
        <f t="shared" ref="P679:P683" si="41">J679</f>
        <v>916.67</v>
      </c>
      <c r="Q679" s="18">
        <f t="shared" ref="Q679:Q683" si="42">I679</f>
        <v>10000</v>
      </c>
      <c r="R679" s="18"/>
      <c r="U679" s="53"/>
      <c r="V679" s="18"/>
    </row>
    <row r="680" spans="1:22" ht="24.95" customHeight="1" x14ac:dyDescent="0.2">
      <c r="B680" s="83" t="s">
        <v>2168</v>
      </c>
      <c r="C680" s="74">
        <v>3</v>
      </c>
      <c r="D680" s="506" t="str">
        <f>IFERROR(VLOOKUP(B680,Fontes!$A$9:$AC$6124,2,FALSE),0)</f>
        <v>Central de gases para argônio - fornecimento e instalação</v>
      </c>
      <c r="E680" s="507">
        <f>IFERROR(VLOOKUP(D680,Planilha!$B$10:$AC$943,4,FALSE),0)</f>
        <v>0</v>
      </c>
      <c r="F680" s="508">
        <f>IFERROR(VLOOKUP(E680,Planilha!$B$10:$AC$943,4,FALSE),0)</f>
        <v>0</v>
      </c>
      <c r="G680" s="75" t="str">
        <f>IFERROR(VLOOKUP(B680,Fontes!$A$9:$AC$6124,3,FALSE),0)</f>
        <v>un</v>
      </c>
      <c r="H680" s="76">
        <v>1</v>
      </c>
      <c r="I680" s="77">
        <v>15000</v>
      </c>
      <c r="J680" s="77">
        <v>5500</v>
      </c>
      <c r="K680" s="77"/>
      <c r="L680" s="77"/>
      <c r="M680" s="77"/>
      <c r="N680" s="78">
        <f t="shared" si="40"/>
        <v>20500</v>
      </c>
      <c r="O680" s="58"/>
      <c r="P680" s="18">
        <f t="shared" si="41"/>
        <v>5500</v>
      </c>
      <c r="Q680" s="18">
        <f t="shared" si="42"/>
        <v>15000</v>
      </c>
      <c r="R680" s="18"/>
      <c r="U680" s="53"/>
      <c r="V680" s="18"/>
    </row>
    <row r="681" spans="1:22" ht="24.95" customHeight="1" x14ac:dyDescent="0.2">
      <c r="B681" s="83" t="s">
        <v>2169</v>
      </c>
      <c r="C681" s="74">
        <v>4</v>
      </c>
      <c r="D681" s="506" t="str">
        <f>IFERROR(VLOOKUP(B681,Fontes!$A$9:$AC$6124,2,FALSE),0)</f>
        <v>Central de gases para oxigênio - fornecimento e instalação</v>
      </c>
      <c r="E681" s="507">
        <f>IFERROR(VLOOKUP(D681,Planilha!$B$10:$AC$943,4,FALSE),0)</f>
        <v>0</v>
      </c>
      <c r="F681" s="508">
        <f>IFERROR(VLOOKUP(E681,Planilha!$B$10:$AC$943,4,FALSE),0)</f>
        <v>0</v>
      </c>
      <c r="G681" s="75" t="str">
        <f>IFERROR(VLOOKUP(B681,Fontes!$A$9:$AC$6124,3,FALSE),0)</f>
        <v>un</v>
      </c>
      <c r="H681" s="76">
        <v>1</v>
      </c>
      <c r="I681" s="77">
        <v>15000</v>
      </c>
      <c r="J681" s="77">
        <v>5500</v>
      </c>
      <c r="K681" s="77"/>
      <c r="L681" s="77"/>
      <c r="M681" s="77"/>
      <c r="N681" s="78">
        <f t="shared" si="40"/>
        <v>20500</v>
      </c>
      <c r="O681" s="58"/>
      <c r="P681" s="18">
        <f t="shared" si="41"/>
        <v>5500</v>
      </c>
      <c r="Q681" s="18">
        <f t="shared" si="42"/>
        <v>15000</v>
      </c>
      <c r="R681" s="18"/>
      <c r="U681" s="53"/>
      <c r="V681" s="18"/>
    </row>
    <row r="682" spans="1:22" ht="24.95" customHeight="1" x14ac:dyDescent="0.2">
      <c r="B682" s="83" t="s">
        <v>2170</v>
      </c>
      <c r="C682" s="74">
        <v>5</v>
      </c>
      <c r="D682" s="506" t="str">
        <f>IFERROR(VLOOKUP(B682,Fontes!$A$9:$AC$6124,2,FALSE),0)</f>
        <v>Central de gases para nitrogênio - fornecimento e instalação</v>
      </c>
      <c r="E682" s="507">
        <f>IFERROR(VLOOKUP(D682,Planilha!$B$10:$AC$943,4,FALSE),0)</f>
        <v>0</v>
      </c>
      <c r="F682" s="508">
        <f>IFERROR(VLOOKUP(E682,Planilha!$B$10:$AC$943,4,FALSE),0)</f>
        <v>0</v>
      </c>
      <c r="G682" s="75" t="str">
        <f>IFERROR(VLOOKUP(B682,Fontes!$A$9:$AC$6124,3,FALSE),0)</f>
        <v>un</v>
      </c>
      <c r="H682" s="76">
        <v>1</v>
      </c>
      <c r="I682" s="77">
        <v>15000</v>
      </c>
      <c r="J682" s="77">
        <v>5500</v>
      </c>
      <c r="K682" s="77"/>
      <c r="L682" s="77"/>
      <c r="M682" s="77"/>
      <c r="N682" s="78">
        <f t="shared" si="40"/>
        <v>20500</v>
      </c>
      <c r="O682" s="58"/>
      <c r="P682" s="18">
        <f t="shared" si="41"/>
        <v>5500</v>
      </c>
      <c r="Q682" s="18">
        <f t="shared" si="42"/>
        <v>15000</v>
      </c>
      <c r="R682" s="18"/>
      <c r="U682" s="53"/>
      <c r="V682" s="18"/>
    </row>
    <row r="683" spans="1:22" ht="24.95" customHeight="1" x14ac:dyDescent="0.2">
      <c r="B683" s="83" t="s">
        <v>2171</v>
      </c>
      <c r="C683" s="74">
        <v>6</v>
      </c>
      <c r="D683" s="506" t="str">
        <f>IFERROR(VLOOKUP(B683,Fontes!$A$9:$AC$6124,2,FALSE),0)</f>
        <v>Central de gases para ar comprimido - fornecimento e instalação</v>
      </c>
      <c r="E683" s="507">
        <f>IFERROR(VLOOKUP(D683,Planilha!$B$10:$AC$943,4,FALSE),0)</f>
        <v>0</v>
      </c>
      <c r="F683" s="508">
        <f>IFERROR(VLOOKUP(E683,Planilha!$B$10:$AC$943,4,FALSE),0)</f>
        <v>0</v>
      </c>
      <c r="G683" s="75" t="str">
        <f>IFERROR(VLOOKUP(B683,Fontes!$A$9:$AC$6124,3,FALSE),0)</f>
        <v>un</v>
      </c>
      <c r="H683" s="76">
        <v>1</v>
      </c>
      <c r="I683" s="77">
        <v>30000</v>
      </c>
      <c r="J683" s="77">
        <v>5500</v>
      </c>
      <c r="K683" s="77"/>
      <c r="L683" s="77"/>
      <c r="M683" s="77"/>
      <c r="N683" s="78">
        <f t="shared" si="40"/>
        <v>35500</v>
      </c>
      <c r="O683" s="58"/>
      <c r="P683" s="18">
        <f t="shared" si="41"/>
        <v>5500</v>
      </c>
      <c r="Q683" s="18">
        <f t="shared" si="42"/>
        <v>30000</v>
      </c>
      <c r="R683" s="18"/>
      <c r="U683" s="53"/>
      <c r="V683" s="18"/>
    </row>
    <row r="684" spans="1:22" ht="24.95" customHeight="1" x14ac:dyDescent="0.2">
      <c r="C684" s="74"/>
      <c r="D684" s="506"/>
      <c r="E684" s="507"/>
      <c r="F684" s="508"/>
      <c r="G684" s="75"/>
      <c r="H684" s="76"/>
      <c r="I684" s="77"/>
      <c r="J684" s="77"/>
      <c r="K684" s="77"/>
      <c r="L684" s="77"/>
      <c r="M684" s="77"/>
      <c r="N684" s="78"/>
      <c r="O684" s="58"/>
      <c r="P684" s="18"/>
      <c r="Q684" s="18"/>
      <c r="R684" s="18"/>
      <c r="U684" s="53"/>
      <c r="V684" s="18"/>
    </row>
    <row r="685" spans="1:22" ht="24.95" customHeight="1" x14ac:dyDescent="0.2">
      <c r="C685" s="74"/>
      <c r="D685" s="506"/>
      <c r="E685" s="507"/>
      <c r="F685" s="508"/>
      <c r="G685" s="75"/>
      <c r="H685" s="76"/>
      <c r="I685" s="77"/>
      <c r="J685" s="77"/>
      <c r="K685" s="77"/>
      <c r="L685" s="77"/>
      <c r="M685" s="77"/>
      <c r="N685" s="78"/>
      <c r="O685" s="58"/>
      <c r="P685" s="18"/>
      <c r="Q685" s="18"/>
      <c r="R685" s="18"/>
      <c r="U685" s="53"/>
      <c r="V685" s="18"/>
    </row>
    <row r="686" spans="1:22" ht="15.75" thickBot="1" x14ac:dyDescent="0.25">
      <c r="C686" s="79"/>
      <c r="D686" s="493"/>
      <c r="E686" s="494"/>
      <c r="F686" s="495"/>
      <c r="G686" s="80"/>
      <c r="H686" s="80"/>
      <c r="I686" s="81"/>
      <c r="J686" s="81"/>
      <c r="K686" s="81"/>
      <c r="L686" s="81"/>
      <c r="M686" s="81"/>
      <c r="N686" s="82"/>
      <c r="O686" s="58"/>
    </row>
    <row r="687" spans="1:22" x14ac:dyDescent="0.2">
      <c r="O687" s="58"/>
    </row>
    <row r="688" spans="1:22" ht="15.75" thickBot="1" x14ac:dyDescent="0.25">
      <c r="O688" s="58"/>
    </row>
    <row r="689" spans="1:19" s="49" customFormat="1" ht="15.75" thickBot="1" x14ac:dyDescent="0.25">
      <c r="A689" s="87"/>
      <c r="B689" s="87"/>
      <c r="C689" s="46" t="s">
        <v>42</v>
      </c>
      <c r="D689" s="47"/>
      <c r="E689" s="47"/>
      <c r="F689" s="47"/>
      <c r="G689" s="47"/>
      <c r="H689" s="48"/>
      <c r="I689" s="48"/>
      <c r="J689" s="48"/>
      <c r="K689" s="48"/>
      <c r="L689" s="48"/>
      <c r="M689" s="48"/>
      <c r="N689" s="48"/>
      <c r="O689" s="58"/>
      <c r="S689" s="50"/>
    </row>
    <row r="690" spans="1:19" s="49" customFormat="1" ht="13.5" thickBot="1" x14ac:dyDescent="0.25">
      <c r="A690" s="87"/>
      <c r="B690" s="87"/>
      <c r="C690" s="496"/>
      <c r="D690" s="496"/>
      <c r="E690" s="496"/>
      <c r="F690" s="496"/>
      <c r="G690" s="496"/>
      <c r="H690" s="496"/>
      <c r="I690" s="496"/>
      <c r="J690" s="496"/>
      <c r="K690" s="496"/>
      <c r="L690" s="496"/>
      <c r="M690" s="496"/>
      <c r="N690" s="496"/>
      <c r="O690" s="59"/>
      <c r="S690" s="50"/>
    </row>
    <row r="691" spans="1:19" s="49" customFormat="1" ht="12.75" x14ac:dyDescent="0.2">
      <c r="A691" s="87"/>
      <c r="B691" s="87"/>
      <c r="C691" s="496"/>
      <c r="D691" s="496"/>
      <c r="E691" s="496"/>
      <c r="F691" s="496"/>
      <c r="G691" s="496"/>
      <c r="H691" s="496"/>
      <c r="I691" s="496"/>
      <c r="J691" s="496"/>
      <c r="K691" s="496"/>
      <c r="L691" s="496"/>
      <c r="M691" s="496"/>
      <c r="N691" s="496"/>
      <c r="O691" s="59"/>
      <c r="S691" s="50"/>
    </row>
    <row r="692" spans="1:19" s="49" customFormat="1" ht="12.75" x14ac:dyDescent="0.2">
      <c r="A692" s="87"/>
      <c r="B692" s="87"/>
      <c r="C692" s="497"/>
      <c r="D692" s="497"/>
      <c r="E692" s="497"/>
      <c r="F692" s="497"/>
      <c r="G692" s="497"/>
      <c r="H692" s="497"/>
      <c r="I692" s="497"/>
      <c r="J692" s="497"/>
      <c r="K692" s="497"/>
      <c r="L692" s="497"/>
      <c r="M692" s="497"/>
      <c r="N692" s="497"/>
      <c r="O692" s="59"/>
      <c r="S692" s="50"/>
    </row>
    <row r="693" spans="1:19" s="49" customFormat="1" ht="12.75" x14ac:dyDescent="0.2">
      <c r="A693" s="87"/>
      <c r="B693" s="87"/>
      <c r="C693" s="497"/>
      <c r="D693" s="497"/>
      <c r="E693" s="497"/>
      <c r="F693" s="497"/>
      <c r="G693" s="497"/>
      <c r="H693" s="497"/>
      <c r="I693" s="497"/>
      <c r="J693" s="497"/>
      <c r="K693" s="497"/>
      <c r="L693" s="497"/>
      <c r="M693" s="497"/>
      <c r="N693" s="497"/>
      <c r="O693" s="59"/>
      <c r="S693" s="50"/>
    </row>
    <row r="694" spans="1:19" s="49" customFormat="1" ht="13.5" thickBot="1" x14ac:dyDescent="0.25">
      <c r="A694" s="87"/>
      <c r="B694" s="87"/>
      <c r="C694" s="498"/>
      <c r="D694" s="498"/>
      <c r="E694" s="498"/>
      <c r="F694" s="498"/>
      <c r="G694" s="498"/>
      <c r="H694" s="498"/>
      <c r="I694" s="498"/>
      <c r="J694" s="498"/>
      <c r="K694" s="498"/>
      <c r="L694" s="498"/>
      <c r="M694" s="498"/>
      <c r="N694" s="498"/>
      <c r="O694" s="59"/>
      <c r="S694" s="50"/>
    </row>
  </sheetData>
  <sheetProtection selectLockedCells="1"/>
  <mergeCells count="830">
    <mergeCell ref="C560:N560"/>
    <mergeCell ref="C561:N561"/>
    <mergeCell ref="C562:N562"/>
    <mergeCell ref="D361:F361"/>
    <mergeCell ref="D362:F362"/>
    <mergeCell ref="D363:F363"/>
    <mergeCell ref="D364:F364"/>
    <mergeCell ref="D548:F548"/>
    <mergeCell ref="D549:F549"/>
    <mergeCell ref="D550:F550"/>
    <mergeCell ref="D551:F551"/>
    <mergeCell ref="D552:F552"/>
    <mergeCell ref="D553:F553"/>
    <mergeCell ref="D554:F554"/>
    <mergeCell ref="C558:N558"/>
    <mergeCell ref="C559:N559"/>
    <mergeCell ref="N540:N543"/>
    <mergeCell ref="I542:I543"/>
    <mergeCell ref="J542:J543"/>
    <mergeCell ref="K542:K543"/>
    <mergeCell ref="L542:L543"/>
    <mergeCell ref="M542:M543"/>
    <mergeCell ref="D545:F545"/>
    <mergeCell ref="D546:F546"/>
    <mergeCell ref="D547:F547"/>
    <mergeCell ref="D537:F537"/>
    <mergeCell ref="G537:H537"/>
    <mergeCell ref="K537:L537"/>
    <mergeCell ref="D538:F538"/>
    <mergeCell ref="G538:H538"/>
    <mergeCell ref="K538:L538"/>
    <mergeCell ref="C540:C543"/>
    <mergeCell ref="D540:F543"/>
    <mergeCell ref="G540:G543"/>
    <mergeCell ref="H540:H543"/>
    <mergeCell ref="D534:F534"/>
    <mergeCell ref="G534:H534"/>
    <mergeCell ref="K534:L534"/>
    <mergeCell ref="D535:F535"/>
    <mergeCell ref="G535:H535"/>
    <mergeCell ref="K535:L535"/>
    <mergeCell ref="D536:F536"/>
    <mergeCell ref="G536:H536"/>
    <mergeCell ref="K536:L536"/>
    <mergeCell ref="D365:F365"/>
    <mergeCell ref="C369:N369"/>
    <mergeCell ref="C370:N370"/>
    <mergeCell ref="C371:N371"/>
    <mergeCell ref="C372:N372"/>
    <mergeCell ref="C373:N373"/>
    <mergeCell ref="D345:F345"/>
    <mergeCell ref="D346:F346"/>
    <mergeCell ref="D347:F347"/>
    <mergeCell ref="D348:F348"/>
    <mergeCell ref="D351:F351"/>
    <mergeCell ref="D352:F352"/>
    <mergeCell ref="D353:F353"/>
    <mergeCell ref="D354:F354"/>
    <mergeCell ref="D355:F355"/>
    <mergeCell ref="D356:F356"/>
    <mergeCell ref="D357:F357"/>
    <mergeCell ref="D349:F349"/>
    <mergeCell ref="D350:F350"/>
    <mergeCell ref="D358:F358"/>
    <mergeCell ref="D359:F359"/>
    <mergeCell ref="D360:F360"/>
    <mergeCell ref="D336:F336"/>
    <mergeCell ref="D337:F337"/>
    <mergeCell ref="D338:F338"/>
    <mergeCell ref="D339:F339"/>
    <mergeCell ref="D340:F340"/>
    <mergeCell ref="D341:F341"/>
    <mergeCell ref="D342:F342"/>
    <mergeCell ref="D343:F343"/>
    <mergeCell ref="D344:F344"/>
    <mergeCell ref="D329:F329"/>
    <mergeCell ref="G329:H329"/>
    <mergeCell ref="K329:L329"/>
    <mergeCell ref="C331:C334"/>
    <mergeCell ref="D331:F334"/>
    <mergeCell ref="G331:G334"/>
    <mergeCell ref="H331:H334"/>
    <mergeCell ref="N331:N334"/>
    <mergeCell ref="I333:I334"/>
    <mergeCell ref="J333:J334"/>
    <mergeCell ref="K333:K334"/>
    <mergeCell ref="L333:L334"/>
    <mergeCell ref="M333:M334"/>
    <mergeCell ref="D326:F326"/>
    <mergeCell ref="G326:H326"/>
    <mergeCell ref="K326:L326"/>
    <mergeCell ref="D327:F327"/>
    <mergeCell ref="G327:H327"/>
    <mergeCell ref="K327:L327"/>
    <mergeCell ref="D328:F328"/>
    <mergeCell ref="G328:H328"/>
    <mergeCell ref="K328:L328"/>
    <mergeCell ref="D312:F312"/>
    <mergeCell ref="C316:N316"/>
    <mergeCell ref="C317:N317"/>
    <mergeCell ref="C318:N318"/>
    <mergeCell ref="C319:N319"/>
    <mergeCell ref="C320:N320"/>
    <mergeCell ref="D325:F325"/>
    <mergeCell ref="G325:H325"/>
    <mergeCell ref="K325:L325"/>
    <mergeCell ref="D303:F303"/>
    <mergeCell ref="D304:F304"/>
    <mergeCell ref="D305:F305"/>
    <mergeCell ref="D306:F306"/>
    <mergeCell ref="D307:F307"/>
    <mergeCell ref="D308:F308"/>
    <mergeCell ref="D309:F309"/>
    <mergeCell ref="D310:F310"/>
    <mergeCell ref="D311:F311"/>
    <mergeCell ref="D296:F296"/>
    <mergeCell ref="G296:H296"/>
    <mergeCell ref="K296:L296"/>
    <mergeCell ref="C298:C301"/>
    <mergeCell ref="D298:F301"/>
    <mergeCell ref="G298:G301"/>
    <mergeCell ref="H298:H301"/>
    <mergeCell ref="N298:N301"/>
    <mergeCell ref="I300:I301"/>
    <mergeCell ref="J300:J301"/>
    <mergeCell ref="K300:K301"/>
    <mergeCell ref="L300:L301"/>
    <mergeCell ref="M300:M301"/>
    <mergeCell ref="D259:F259"/>
    <mergeCell ref="G259:H259"/>
    <mergeCell ref="K259:L259"/>
    <mergeCell ref="C283:N283"/>
    <mergeCell ref="C284:N284"/>
    <mergeCell ref="C285:N285"/>
    <mergeCell ref="C286:N286"/>
    <mergeCell ref="C287:N287"/>
    <mergeCell ref="D292:F292"/>
    <mergeCell ref="G292:H292"/>
    <mergeCell ref="K292:L292"/>
    <mergeCell ref="D263:F263"/>
    <mergeCell ref="G263:H263"/>
    <mergeCell ref="K263:L263"/>
    <mergeCell ref="C265:C268"/>
    <mergeCell ref="D265:F268"/>
    <mergeCell ref="G265:G268"/>
    <mergeCell ref="H265:H268"/>
    <mergeCell ref="N265:N268"/>
    <mergeCell ref="I267:I268"/>
    <mergeCell ref="J267:J268"/>
    <mergeCell ref="K267:K268"/>
    <mergeCell ref="L267:L268"/>
    <mergeCell ref="M267:M268"/>
    <mergeCell ref="D293:F293"/>
    <mergeCell ref="G293:H293"/>
    <mergeCell ref="K293:L293"/>
    <mergeCell ref="D294:F294"/>
    <mergeCell ref="G294:H294"/>
    <mergeCell ref="K294:L294"/>
    <mergeCell ref="D295:F295"/>
    <mergeCell ref="D279:F279"/>
    <mergeCell ref="D270:F270"/>
    <mergeCell ref="D271:F271"/>
    <mergeCell ref="D272:F272"/>
    <mergeCell ref="D273:F273"/>
    <mergeCell ref="D274:F274"/>
    <mergeCell ref="D275:F275"/>
    <mergeCell ref="D276:F276"/>
    <mergeCell ref="D277:F277"/>
    <mergeCell ref="D278:F278"/>
    <mergeCell ref="G295:H295"/>
    <mergeCell ref="K295:L295"/>
    <mergeCell ref="D260:F260"/>
    <mergeCell ref="G260:H260"/>
    <mergeCell ref="K260:L260"/>
    <mergeCell ref="D261:F261"/>
    <mergeCell ref="G261:H261"/>
    <mergeCell ref="K261:L261"/>
    <mergeCell ref="D262:F262"/>
    <mergeCell ref="G262:H262"/>
    <mergeCell ref="K262:L262"/>
    <mergeCell ref="D246:F246"/>
    <mergeCell ref="C250:N250"/>
    <mergeCell ref="C251:N251"/>
    <mergeCell ref="C252:N252"/>
    <mergeCell ref="C253:N253"/>
    <mergeCell ref="C254:N254"/>
    <mergeCell ref="D237:F237"/>
    <mergeCell ref="D238:F238"/>
    <mergeCell ref="D239:F239"/>
    <mergeCell ref="D240:F240"/>
    <mergeCell ref="D241:F241"/>
    <mergeCell ref="D242:F242"/>
    <mergeCell ref="D243:F243"/>
    <mergeCell ref="D244:F244"/>
    <mergeCell ref="D245:F245"/>
    <mergeCell ref="D228:F228"/>
    <mergeCell ref="D229:F229"/>
    <mergeCell ref="D230:F230"/>
    <mergeCell ref="D231:F231"/>
    <mergeCell ref="D232:F232"/>
    <mergeCell ref="D233:F233"/>
    <mergeCell ref="D234:F234"/>
    <mergeCell ref="D235:F235"/>
    <mergeCell ref="D236:F236"/>
    <mergeCell ref="C223:C226"/>
    <mergeCell ref="D223:F226"/>
    <mergeCell ref="G223:G226"/>
    <mergeCell ref="H223:H226"/>
    <mergeCell ref="N223:N226"/>
    <mergeCell ref="I225:I226"/>
    <mergeCell ref="J225:J226"/>
    <mergeCell ref="K225:K226"/>
    <mergeCell ref="L225:L226"/>
    <mergeCell ref="M225:M226"/>
    <mergeCell ref="D219:F219"/>
    <mergeCell ref="G219:H219"/>
    <mergeCell ref="K219:L219"/>
    <mergeCell ref="D220:F220"/>
    <mergeCell ref="G220:H220"/>
    <mergeCell ref="K220:L220"/>
    <mergeCell ref="D221:F221"/>
    <mergeCell ref="G221:H221"/>
    <mergeCell ref="K221:L221"/>
    <mergeCell ref="D200:F200"/>
    <mergeCell ref="D201:F201"/>
    <mergeCell ref="D202:F202"/>
    <mergeCell ref="D203:F203"/>
    <mergeCell ref="D217:F217"/>
    <mergeCell ref="G217:H217"/>
    <mergeCell ref="K217:L217"/>
    <mergeCell ref="D218:F218"/>
    <mergeCell ref="G218:H218"/>
    <mergeCell ref="K218:L218"/>
    <mergeCell ref="D204:F204"/>
    <mergeCell ref="C208:N208"/>
    <mergeCell ref="C209:N209"/>
    <mergeCell ref="C210:N210"/>
    <mergeCell ref="C211:N211"/>
    <mergeCell ref="C212:N212"/>
    <mergeCell ref="D195:F195"/>
    <mergeCell ref="D196:F196"/>
    <mergeCell ref="D197:F197"/>
    <mergeCell ref="D198:F198"/>
    <mergeCell ref="D199:F199"/>
    <mergeCell ref="C190:C193"/>
    <mergeCell ref="D190:F193"/>
    <mergeCell ref="G190:G193"/>
    <mergeCell ref="H190:H193"/>
    <mergeCell ref="N190:N193"/>
    <mergeCell ref="I192:I193"/>
    <mergeCell ref="J192:J193"/>
    <mergeCell ref="K192:K193"/>
    <mergeCell ref="L192:L193"/>
    <mergeCell ref="M192:M193"/>
    <mergeCell ref="D186:F186"/>
    <mergeCell ref="G186:H186"/>
    <mergeCell ref="K186:L186"/>
    <mergeCell ref="D187:F187"/>
    <mergeCell ref="G187:H187"/>
    <mergeCell ref="K187:L187"/>
    <mergeCell ref="D188:F188"/>
    <mergeCell ref="G188:H188"/>
    <mergeCell ref="K188:L188"/>
    <mergeCell ref="C177:N177"/>
    <mergeCell ref="C178:N178"/>
    <mergeCell ref="C179:N179"/>
    <mergeCell ref="D184:F184"/>
    <mergeCell ref="G184:H184"/>
    <mergeCell ref="K184:L184"/>
    <mergeCell ref="D185:F185"/>
    <mergeCell ref="G185:H185"/>
    <mergeCell ref="K185:L185"/>
    <mergeCell ref="D165:F165"/>
    <mergeCell ref="D166:F166"/>
    <mergeCell ref="D167:F167"/>
    <mergeCell ref="D168:F168"/>
    <mergeCell ref="D169:F169"/>
    <mergeCell ref="D170:F170"/>
    <mergeCell ref="D171:F171"/>
    <mergeCell ref="C175:N175"/>
    <mergeCell ref="C176:N176"/>
    <mergeCell ref="N157:N160"/>
    <mergeCell ref="I159:I160"/>
    <mergeCell ref="J159:J160"/>
    <mergeCell ref="K159:K160"/>
    <mergeCell ref="L159:L160"/>
    <mergeCell ref="M159:M160"/>
    <mergeCell ref="D162:F162"/>
    <mergeCell ref="D163:F163"/>
    <mergeCell ref="D164:F164"/>
    <mergeCell ref="D154:F154"/>
    <mergeCell ref="G154:H154"/>
    <mergeCell ref="K154:L154"/>
    <mergeCell ref="D155:F155"/>
    <mergeCell ref="G155:H155"/>
    <mergeCell ref="K155:L155"/>
    <mergeCell ref="C157:C160"/>
    <mergeCell ref="D157:F160"/>
    <mergeCell ref="G157:G160"/>
    <mergeCell ref="H157:H160"/>
    <mergeCell ref="D151:F151"/>
    <mergeCell ref="G151:H151"/>
    <mergeCell ref="K151:L151"/>
    <mergeCell ref="D152:F152"/>
    <mergeCell ref="G152:H152"/>
    <mergeCell ref="K152:L152"/>
    <mergeCell ref="D153:F153"/>
    <mergeCell ref="G153:H153"/>
    <mergeCell ref="K153:L153"/>
    <mergeCell ref="C142:N142"/>
    <mergeCell ref="C143:N143"/>
    <mergeCell ref="C144:N144"/>
    <mergeCell ref="C145:N145"/>
    <mergeCell ref="C146:N146"/>
    <mergeCell ref="D134:F134"/>
    <mergeCell ref="D135:F135"/>
    <mergeCell ref="D136:F136"/>
    <mergeCell ref="D137:F137"/>
    <mergeCell ref="D138:F138"/>
    <mergeCell ref="D129:F129"/>
    <mergeCell ref="D130:F130"/>
    <mergeCell ref="D131:F131"/>
    <mergeCell ref="D132:F132"/>
    <mergeCell ref="D133:F133"/>
    <mergeCell ref="C124:C127"/>
    <mergeCell ref="D124:F127"/>
    <mergeCell ref="G124:G127"/>
    <mergeCell ref="H124:H127"/>
    <mergeCell ref="N124:N127"/>
    <mergeCell ref="I126:I127"/>
    <mergeCell ref="J126:J127"/>
    <mergeCell ref="K126:K127"/>
    <mergeCell ref="L126:L127"/>
    <mergeCell ref="M126:M127"/>
    <mergeCell ref="D121:F121"/>
    <mergeCell ref="G121:H121"/>
    <mergeCell ref="K121:L121"/>
    <mergeCell ref="D122:F122"/>
    <mergeCell ref="G122:H122"/>
    <mergeCell ref="K122:L122"/>
    <mergeCell ref="D119:F119"/>
    <mergeCell ref="G119:H119"/>
    <mergeCell ref="K119:L119"/>
    <mergeCell ref="D120:F120"/>
    <mergeCell ref="G120:H120"/>
    <mergeCell ref="K120:L120"/>
    <mergeCell ref="E111:F111"/>
    <mergeCell ref="G111:L112"/>
    <mergeCell ref="E112:F112"/>
    <mergeCell ref="D118:F118"/>
    <mergeCell ref="G118:H118"/>
    <mergeCell ref="K118:L118"/>
    <mergeCell ref="C109:N109"/>
    <mergeCell ref="D101:F101"/>
    <mergeCell ref="D102:F102"/>
    <mergeCell ref="D103:F103"/>
    <mergeCell ref="D104:F104"/>
    <mergeCell ref="D105:F105"/>
    <mergeCell ref="D96:F96"/>
    <mergeCell ref="D97:F97"/>
    <mergeCell ref="D98:F98"/>
    <mergeCell ref="D99:F99"/>
    <mergeCell ref="D100:F100"/>
    <mergeCell ref="C91:C94"/>
    <mergeCell ref="D91:F94"/>
    <mergeCell ref="G91:G94"/>
    <mergeCell ref="H91:H94"/>
    <mergeCell ref="N91:N94"/>
    <mergeCell ref="I93:I94"/>
    <mergeCell ref="J93:J94"/>
    <mergeCell ref="K93:K94"/>
    <mergeCell ref="L93:L94"/>
    <mergeCell ref="M93:M94"/>
    <mergeCell ref="D88:F88"/>
    <mergeCell ref="G88:H88"/>
    <mergeCell ref="K88:L88"/>
    <mergeCell ref="D89:F89"/>
    <mergeCell ref="G89:H89"/>
    <mergeCell ref="K89:L89"/>
    <mergeCell ref="D86:F86"/>
    <mergeCell ref="G86:H86"/>
    <mergeCell ref="K86:L86"/>
    <mergeCell ref="D87:F87"/>
    <mergeCell ref="G87:H87"/>
    <mergeCell ref="K87:L87"/>
    <mergeCell ref="E78:F78"/>
    <mergeCell ref="G78:L79"/>
    <mergeCell ref="E79:F79"/>
    <mergeCell ref="D85:F85"/>
    <mergeCell ref="G85:H85"/>
    <mergeCell ref="K85:L85"/>
    <mergeCell ref="C72:N72"/>
    <mergeCell ref="C73:N73"/>
    <mergeCell ref="C74:N74"/>
    <mergeCell ref="C75:N75"/>
    <mergeCell ref="C76:N76"/>
    <mergeCell ref="D64:F64"/>
    <mergeCell ref="D65:F65"/>
    <mergeCell ref="D66:F66"/>
    <mergeCell ref="D67:F67"/>
    <mergeCell ref="D68:F68"/>
    <mergeCell ref="D59:F59"/>
    <mergeCell ref="D60:F60"/>
    <mergeCell ref="D61:F61"/>
    <mergeCell ref="D62:F62"/>
    <mergeCell ref="D63:F63"/>
    <mergeCell ref="C54:C57"/>
    <mergeCell ref="D54:F57"/>
    <mergeCell ref="G54:G57"/>
    <mergeCell ref="H54:H57"/>
    <mergeCell ref="N54:N57"/>
    <mergeCell ref="I56:I57"/>
    <mergeCell ref="J56:J57"/>
    <mergeCell ref="K56:K57"/>
    <mergeCell ref="L56:L57"/>
    <mergeCell ref="M56:M57"/>
    <mergeCell ref="D51:F51"/>
    <mergeCell ref="G51:H51"/>
    <mergeCell ref="K51:L51"/>
    <mergeCell ref="D52:F52"/>
    <mergeCell ref="G52:H52"/>
    <mergeCell ref="K52:L52"/>
    <mergeCell ref="D50:F50"/>
    <mergeCell ref="G50:H50"/>
    <mergeCell ref="K50:L50"/>
    <mergeCell ref="E41:F41"/>
    <mergeCell ref="G41:L42"/>
    <mergeCell ref="E42:F42"/>
    <mergeCell ref="D48:F48"/>
    <mergeCell ref="G48:H48"/>
    <mergeCell ref="K48:L48"/>
    <mergeCell ref="G17:G20"/>
    <mergeCell ref="D28:F28"/>
    <mergeCell ref="D29:F29"/>
    <mergeCell ref="D30:F30"/>
    <mergeCell ref="I19:I20"/>
    <mergeCell ref="J19:J20"/>
    <mergeCell ref="K19:K20"/>
    <mergeCell ref="L19:L20"/>
    <mergeCell ref="D49:F49"/>
    <mergeCell ref="G49:H49"/>
    <mergeCell ref="K49:L49"/>
    <mergeCell ref="C37:N37"/>
    <mergeCell ref="C38:N38"/>
    <mergeCell ref="C39:N39"/>
    <mergeCell ref="D14:F14"/>
    <mergeCell ref="G14:H14"/>
    <mergeCell ref="K14:L14"/>
    <mergeCell ref="D15:F15"/>
    <mergeCell ref="G15:H15"/>
    <mergeCell ref="K15:L15"/>
    <mergeCell ref="C17:C20"/>
    <mergeCell ref="C36:N36"/>
    <mergeCell ref="D22:F22"/>
    <mergeCell ref="D23:F23"/>
    <mergeCell ref="D24:F24"/>
    <mergeCell ref="D25:F25"/>
    <mergeCell ref="D26:F26"/>
    <mergeCell ref="D27:F27"/>
    <mergeCell ref="D31:F31"/>
    <mergeCell ref="C35:N35"/>
    <mergeCell ref="H17:H20"/>
    <mergeCell ref="N17:N20"/>
    <mergeCell ref="M19:M20"/>
    <mergeCell ref="D17:F20"/>
    <mergeCell ref="K12:L12"/>
    <mergeCell ref="D13:F13"/>
    <mergeCell ref="G13:H13"/>
    <mergeCell ref="K13:L13"/>
    <mergeCell ref="E4:F4"/>
    <mergeCell ref="G4:L5"/>
    <mergeCell ref="E5:F5"/>
    <mergeCell ref="D11:F11"/>
    <mergeCell ref="G11:H11"/>
    <mergeCell ref="K11:L11"/>
    <mergeCell ref="D12:F12"/>
    <mergeCell ref="G12:H12"/>
    <mergeCell ref="D378:F378"/>
    <mergeCell ref="G378:H378"/>
    <mergeCell ref="K378:L378"/>
    <mergeCell ref="D379:F379"/>
    <mergeCell ref="G379:H379"/>
    <mergeCell ref="K379:L379"/>
    <mergeCell ref="D380:F380"/>
    <mergeCell ref="G380:H380"/>
    <mergeCell ref="K380:L380"/>
    <mergeCell ref="D381:F381"/>
    <mergeCell ref="G381:H381"/>
    <mergeCell ref="K381:L381"/>
    <mergeCell ref="D382:F382"/>
    <mergeCell ref="G382:H382"/>
    <mergeCell ref="K382:L382"/>
    <mergeCell ref="C384:C387"/>
    <mergeCell ref="D384:F387"/>
    <mergeCell ref="G384:G387"/>
    <mergeCell ref="H384:H387"/>
    <mergeCell ref="D419:F419"/>
    <mergeCell ref="D420:F420"/>
    <mergeCell ref="D408:F408"/>
    <mergeCell ref="D409:F409"/>
    <mergeCell ref="N384:N387"/>
    <mergeCell ref="I386:I387"/>
    <mergeCell ref="J386:J387"/>
    <mergeCell ref="K386:K387"/>
    <mergeCell ref="L386:L387"/>
    <mergeCell ref="M386:M387"/>
    <mergeCell ref="D389:F389"/>
    <mergeCell ref="D390:F390"/>
    <mergeCell ref="D391:F391"/>
    <mergeCell ref="D392:F392"/>
    <mergeCell ref="D393:F393"/>
    <mergeCell ref="D394:F394"/>
    <mergeCell ref="D395:F395"/>
    <mergeCell ref="C399:N399"/>
    <mergeCell ref="C400:N400"/>
    <mergeCell ref="C401:N401"/>
    <mergeCell ref="C402:N402"/>
    <mergeCell ref="D412:F412"/>
    <mergeCell ref="G412:H412"/>
    <mergeCell ref="K412:L412"/>
    <mergeCell ref="C414:C417"/>
    <mergeCell ref="D414:F417"/>
    <mergeCell ref="G414:G417"/>
    <mergeCell ref="H414:H417"/>
    <mergeCell ref="N414:N417"/>
    <mergeCell ref="I416:I417"/>
    <mergeCell ref="J416:J417"/>
    <mergeCell ref="K416:K417"/>
    <mergeCell ref="L416:L417"/>
    <mergeCell ref="M416:M417"/>
    <mergeCell ref="C403:N403"/>
    <mergeCell ref="G408:H408"/>
    <mergeCell ref="K408:L408"/>
    <mergeCell ref="G409:H409"/>
    <mergeCell ref="K409:L409"/>
    <mergeCell ref="G410:H410"/>
    <mergeCell ref="K410:L410"/>
    <mergeCell ref="D411:F411"/>
    <mergeCell ref="G411:H411"/>
    <mergeCell ref="K411:L411"/>
    <mergeCell ref="D410:F410"/>
    <mergeCell ref="D421:F421"/>
    <mergeCell ref="D422:F422"/>
    <mergeCell ref="D423:F423"/>
    <mergeCell ref="D424:F424"/>
    <mergeCell ref="D425:F425"/>
    <mergeCell ref="C429:N429"/>
    <mergeCell ref="C430:N430"/>
    <mergeCell ref="C431:N431"/>
    <mergeCell ref="C432:N432"/>
    <mergeCell ref="C433:N433"/>
    <mergeCell ref="D438:F438"/>
    <mergeCell ref="G438:H438"/>
    <mergeCell ref="K438:L438"/>
    <mergeCell ref="D439:F439"/>
    <mergeCell ref="G439:H439"/>
    <mergeCell ref="K439:L439"/>
    <mergeCell ref="D440:F440"/>
    <mergeCell ref="G440:H440"/>
    <mergeCell ref="K440:L440"/>
    <mergeCell ref="D441:F441"/>
    <mergeCell ref="G441:H441"/>
    <mergeCell ref="K441:L441"/>
    <mergeCell ref="D442:F442"/>
    <mergeCell ref="G442:H442"/>
    <mergeCell ref="K442:L442"/>
    <mergeCell ref="C444:C447"/>
    <mergeCell ref="D444:F447"/>
    <mergeCell ref="G444:G447"/>
    <mergeCell ref="H444:H447"/>
    <mergeCell ref="N444:N447"/>
    <mergeCell ref="I446:I447"/>
    <mergeCell ref="J446:J447"/>
    <mergeCell ref="K446:K447"/>
    <mergeCell ref="L446:L447"/>
    <mergeCell ref="M446:M447"/>
    <mergeCell ref="D449:F449"/>
    <mergeCell ref="D450:F450"/>
    <mergeCell ref="D451:F451"/>
    <mergeCell ref="D452:F452"/>
    <mergeCell ref="D469:F469"/>
    <mergeCell ref="G469:H469"/>
    <mergeCell ref="K469:L469"/>
    <mergeCell ref="D470:F470"/>
    <mergeCell ref="G470:H470"/>
    <mergeCell ref="K470:L470"/>
    <mergeCell ref="D471:F471"/>
    <mergeCell ref="G471:H471"/>
    <mergeCell ref="K471:L471"/>
    <mergeCell ref="D453:F453"/>
    <mergeCell ref="D454:F454"/>
    <mergeCell ref="D455:F455"/>
    <mergeCell ref="D456:F456"/>
    <mergeCell ref="C460:N460"/>
    <mergeCell ref="C461:N461"/>
    <mergeCell ref="C462:N462"/>
    <mergeCell ref="C463:N463"/>
    <mergeCell ref="C464:N464"/>
    <mergeCell ref="D472:F472"/>
    <mergeCell ref="G472:H472"/>
    <mergeCell ref="K472:L472"/>
    <mergeCell ref="D473:F473"/>
    <mergeCell ref="G473:H473"/>
    <mergeCell ref="K473:L473"/>
    <mergeCell ref="C475:C478"/>
    <mergeCell ref="D475:F478"/>
    <mergeCell ref="G475:G478"/>
    <mergeCell ref="H475:H478"/>
    <mergeCell ref="N475:N478"/>
    <mergeCell ref="I477:I478"/>
    <mergeCell ref="J477:J478"/>
    <mergeCell ref="K477:K478"/>
    <mergeCell ref="L477:L478"/>
    <mergeCell ref="M477:M478"/>
    <mergeCell ref="D480:F480"/>
    <mergeCell ref="D481:F481"/>
    <mergeCell ref="D482:F482"/>
    <mergeCell ref="D483:F483"/>
    <mergeCell ref="D484:F484"/>
    <mergeCell ref="D485:F485"/>
    <mergeCell ref="D486:F486"/>
    <mergeCell ref="D488:F488"/>
    <mergeCell ref="C492:N492"/>
    <mergeCell ref="C493:N493"/>
    <mergeCell ref="C494:N494"/>
    <mergeCell ref="C495:N495"/>
    <mergeCell ref="C496:N496"/>
    <mergeCell ref="D487:F487"/>
    <mergeCell ref="D501:F501"/>
    <mergeCell ref="G501:H501"/>
    <mergeCell ref="K501:L501"/>
    <mergeCell ref="D502:F502"/>
    <mergeCell ref="G502:H502"/>
    <mergeCell ref="K502:L502"/>
    <mergeCell ref="D503:F503"/>
    <mergeCell ref="G503:H503"/>
    <mergeCell ref="K503:L503"/>
    <mergeCell ref="D504:F504"/>
    <mergeCell ref="G504:H504"/>
    <mergeCell ref="K504:L504"/>
    <mergeCell ref="D505:F505"/>
    <mergeCell ref="G505:H505"/>
    <mergeCell ref="K505:L505"/>
    <mergeCell ref="C507:C510"/>
    <mergeCell ref="D507:F510"/>
    <mergeCell ref="G507:G510"/>
    <mergeCell ref="H507:H510"/>
    <mergeCell ref="N507:N510"/>
    <mergeCell ref="I509:I510"/>
    <mergeCell ref="J509:J510"/>
    <mergeCell ref="K509:K510"/>
    <mergeCell ref="L509:L510"/>
    <mergeCell ref="M509:M510"/>
    <mergeCell ref="D512:F512"/>
    <mergeCell ref="D513:F513"/>
    <mergeCell ref="D514:F514"/>
    <mergeCell ref="C528:N528"/>
    <mergeCell ref="C529:N529"/>
    <mergeCell ref="D520:F520"/>
    <mergeCell ref="D515:F515"/>
    <mergeCell ref="D516:F516"/>
    <mergeCell ref="D517:F517"/>
    <mergeCell ref="D518:F518"/>
    <mergeCell ref="D519:F519"/>
    <mergeCell ref="D521:F521"/>
    <mergeCell ref="C525:N525"/>
    <mergeCell ref="C526:N526"/>
    <mergeCell ref="C527:N527"/>
    <mergeCell ref="D567:F567"/>
    <mergeCell ref="G567:H567"/>
    <mergeCell ref="K567:L567"/>
    <mergeCell ref="D568:F568"/>
    <mergeCell ref="G568:H568"/>
    <mergeCell ref="K568:L568"/>
    <mergeCell ref="D569:F569"/>
    <mergeCell ref="G569:H569"/>
    <mergeCell ref="K569:L569"/>
    <mergeCell ref="D570:F570"/>
    <mergeCell ref="G570:H570"/>
    <mergeCell ref="K570:L570"/>
    <mergeCell ref="D571:F571"/>
    <mergeCell ref="G571:H571"/>
    <mergeCell ref="K571:L571"/>
    <mergeCell ref="C573:C576"/>
    <mergeCell ref="D573:F576"/>
    <mergeCell ref="G573:G576"/>
    <mergeCell ref="H573:H576"/>
    <mergeCell ref="N573:N576"/>
    <mergeCell ref="I575:I576"/>
    <mergeCell ref="J575:J576"/>
    <mergeCell ref="K575:K576"/>
    <mergeCell ref="L575:L576"/>
    <mergeCell ref="M575:M576"/>
    <mergeCell ref="D578:F578"/>
    <mergeCell ref="D579:F579"/>
    <mergeCell ref="D580:F580"/>
    <mergeCell ref="C593:N593"/>
    <mergeCell ref="C594:N594"/>
    <mergeCell ref="C595:N595"/>
    <mergeCell ref="D581:F581"/>
    <mergeCell ref="D582:F582"/>
    <mergeCell ref="D583:F583"/>
    <mergeCell ref="D584:F584"/>
    <mergeCell ref="D585:F585"/>
    <mergeCell ref="D586:F586"/>
    <mergeCell ref="D587:F587"/>
    <mergeCell ref="C591:N591"/>
    <mergeCell ref="C592:N592"/>
    <mergeCell ref="D600:F600"/>
    <mergeCell ref="G600:H600"/>
    <mergeCell ref="K600:L600"/>
    <mergeCell ref="D601:F601"/>
    <mergeCell ref="G601:H601"/>
    <mergeCell ref="K601:L601"/>
    <mergeCell ref="D602:F602"/>
    <mergeCell ref="G602:H602"/>
    <mergeCell ref="K602:L602"/>
    <mergeCell ref="D603:F603"/>
    <mergeCell ref="G603:H603"/>
    <mergeCell ref="K603:L603"/>
    <mergeCell ref="D604:F604"/>
    <mergeCell ref="G604:H604"/>
    <mergeCell ref="K604:L604"/>
    <mergeCell ref="C606:C609"/>
    <mergeCell ref="D606:F609"/>
    <mergeCell ref="G606:G609"/>
    <mergeCell ref="H606:H609"/>
    <mergeCell ref="N606:N609"/>
    <mergeCell ref="I608:I609"/>
    <mergeCell ref="J608:J609"/>
    <mergeCell ref="K608:K609"/>
    <mergeCell ref="L608:L609"/>
    <mergeCell ref="M608:M609"/>
    <mergeCell ref="D611:F611"/>
    <mergeCell ref="D612:F612"/>
    <mergeCell ref="D613:F613"/>
    <mergeCell ref="C626:N626"/>
    <mergeCell ref="C627:N627"/>
    <mergeCell ref="C628:N628"/>
    <mergeCell ref="D614:F614"/>
    <mergeCell ref="D615:F615"/>
    <mergeCell ref="D616:F616"/>
    <mergeCell ref="D617:F617"/>
    <mergeCell ref="D618:F618"/>
    <mergeCell ref="D619:F619"/>
    <mergeCell ref="D620:F620"/>
    <mergeCell ref="C624:N624"/>
    <mergeCell ref="C625:N625"/>
    <mergeCell ref="D633:F633"/>
    <mergeCell ref="G633:H633"/>
    <mergeCell ref="K633:L633"/>
    <mergeCell ref="D634:F634"/>
    <mergeCell ref="G634:H634"/>
    <mergeCell ref="K634:L634"/>
    <mergeCell ref="D635:F635"/>
    <mergeCell ref="G635:H635"/>
    <mergeCell ref="K635:L635"/>
    <mergeCell ref="D636:F636"/>
    <mergeCell ref="G636:H636"/>
    <mergeCell ref="K636:L636"/>
    <mergeCell ref="D637:F637"/>
    <mergeCell ref="G637:H637"/>
    <mergeCell ref="K637:L637"/>
    <mergeCell ref="C639:C642"/>
    <mergeCell ref="D639:F642"/>
    <mergeCell ref="G639:G642"/>
    <mergeCell ref="H639:H642"/>
    <mergeCell ref="N639:N642"/>
    <mergeCell ref="I641:I642"/>
    <mergeCell ref="J641:J642"/>
    <mergeCell ref="K641:K642"/>
    <mergeCell ref="L641:L642"/>
    <mergeCell ref="M641:M642"/>
    <mergeCell ref="D644:F644"/>
    <mergeCell ref="D645:F645"/>
    <mergeCell ref="D646:F646"/>
    <mergeCell ref="D647:F647"/>
    <mergeCell ref="D648:F648"/>
    <mergeCell ref="D649:F649"/>
    <mergeCell ref="D650:F650"/>
    <mergeCell ref="D651:F651"/>
    <mergeCell ref="D652:F652"/>
    <mergeCell ref="D653:F653"/>
    <mergeCell ref="C657:N657"/>
    <mergeCell ref="C658:N658"/>
    <mergeCell ref="C659:N659"/>
    <mergeCell ref="C660:N660"/>
    <mergeCell ref="C661:N661"/>
    <mergeCell ref="D666:F666"/>
    <mergeCell ref="G666:H666"/>
    <mergeCell ref="K666:L666"/>
    <mergeCell ref="D667:F667"/>
    <mergeCell ref="G667:H667"/>
    <mergeCell ref="K667:L667"/>
    <mergeCell ref="K674:K675"/>
    <mergeCell ref="L674:L675"/>
    <mergeCell ref="M674:M675"/>
    <mergeCell ref="D668:F668"/>
    <mergeCell ref="G668:H668"/>
    <mergeCell ref="K668:L668"/>
    <mergeCell ref="D669:F669"/>
    <mergeCell ref="G669:H669"/>
    <mergeCell ref="K669:L669"/>
    <mergeCell ref="D670:F670"/>
    <mergeCell ref="G670:H670"/>
    <mergeCell ref="K670:L670"/>
    <mergeCell ref="D686:F686"/>
    <mergeCell ref="C690:N690"/>
    <mergeCell ref="C691:N691"/>
    <mergeCell ref="C692:N692"/>
    <mergeCell ref="C693:N693"/>
    <mergeCell ref="C694:N694"/>
    <mergeCell ref="I672:J672"/>
    <mergeCell ref="I673:J673"/>
    <mergeCell ref="D677:F677"/>
    <mergeCell ref="D678:F678"/>
    <mergeCell ref="D679:F679"/>
    <mergeCell ref="D680:F680"/>
    <mergeCell ref="D681:F681"/>
    <mergeCell ref="D682:F682"/>
    <mergeCell ref="D683:F683"/>
    <mergeCell ref="D684:F684"/>
    <mergeCell ref="D685:F685"/>
    <mergeCell ref="C672:C675"/>
    <mergeCell ref="D672:F675"/>
    <mergeCell ref="G672:G675"/>
    <mergeCell ref="H672:H675"/>
    <mergeCell ref="N672:N675"/>
    <mergeCell ref="I674:I675"/>
    <mergeCell ref="J674:J675"/>
  </mergeCells>
  <phoneticPr fontId="69" type="noConversion"/>
  <pageMargins left="0.51181102362204722" right="0.51181102362204722" top="0.78740157480314965" bottom="0.78740157480314965" header="0.31496062992125984" footer="0.31496062992125984"/>
  <pageSetup paperSize="9" scale="39" orientation="portrait" r:id="rId1"/>
  <rowBreaks count="3" manualBreakCount="3">
    <brk id="39" max="13" man="1"/>
    <brk id="565" max="13" man="1"/>
    <brk id="66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X331"/>
  <sheetViews>
    <sheetView topLeftCell="A96" zoomScale="70" zoomScaleNormal="70" workbookViewId="0">
      <selection activeCell="B36" sqref="B36"/>
    </sheetView>
  </sheetViews>
  <sheetFormatPr defaultRowHeight="15" x14ac:dyDescent="0.2"/>
  <cols>
    <col min="1" max="1" width="3" style="83" customWidth="1"/>
    <col min="2" max="2" width="11" style="83" customWidth="1"/>
    <col min="3" max="3" width="14.7109375" style="17" customWidth="1"/>
    <col min="4" max="4" width="16.85546875" style="17" customWidth="1"/>
    <col min="5" max="5" width="42.85546875" style="17" customWidth="1"/>
    <col min="6" max="6" width="19.7109375" style="17" customWidth="1"/>
    <col min="7" max="7" width="7" style="17" customWidth="1"/>
    <col min="8" max="8" width="6.85546875" style="17" customWidth="1"/>
    <col min="9" max="9" width="17.42578125" style="17" bestFit="1" customWidth="1"/>
    <col min="10" max="10" width="14.7109375" style="17" customWidth="1"/>
    <col min="11" max="12" width="15.85546875" style="17" customWidth="1"/>
    <col min="13" max="14" width="14.5703125" style="17" customWidth="1"/>
    <col min="15" max="15" width="15.85546875" style="17" bestFit="1" customWidth="1"/>
    <col min="16" max="16" width="14.5703125" style="17" customWidth="1"/>
    <col min="17" max="17" width="2.140625" style="83" customWidth="1"/>
    <col min="18" max="18" width="14.5703125" style="17" customWidth="1"/>
    <col min="19" max="19" width="18.140625" style="17" customWidth="1"/>
    <col min="20" max="20" width="14.5703125" style="17" customWidth="1"/>
    <col min="21" max="21" width="18.140625" style="18" customWidth="1"/>
    <col min="22" max="22" width="9.140625" style="17"/>
    <col min="23" max="23" width="20.5703125" style="17" bestFit="1" customWidth="1"/>
    <col min="24" max="24" width="17.28515625" style="17" bestFit="1" customWidth="1"/>
    <col min="25" max="25" width="12.42578125" style="17" bestFit="1" customWidth="1"/>
    <col min="26" max="259" width="9.140625" style="17"/>
    <col min="260" max="260" width="0.85546875" style="17" customWidth="1"/>
    <col min="261" max="261" width="14.7109375" style="17" customWidth="1"/>
    <col min="262" max="262" width="16.85546875" style="17" customWidth="1"/>
    <col min="263" max="263" width="42.85546875" style="17" customWidth="1"/>
    <col min="264" max="264" width="14.7109375" style="17" customWidth="1"/>
    <col min="265" max="265" width="7" style="17" customWidth="1"/>
    <col min="266" max="266" width="6.85546875" style="17" customWidth="1"/>
    <col min="267" max="267" width="14.7109375" style="17" customWidth="1"/>
    <col min="268" max="272" width="14.5703125" style="17" customWidth="1"/>
    <col min="273" max="273" width="0.5703125" style="17" customWidth="1"/>
    <col min="274" max="515" width="9.140625" style="17"/>
    <col min="516" max="516" width="0.85546875" style="17" customWidth="1"/>
    <col min="517" max="517" width="14.7109375" style="17" customWidth="1"/>
    <col min="518" max="518" width="16.85546875" style="17" customWidth="1"/>
    <col min="519" max="519" width="42.85546875" style="17" customWidth="1"/>
    <col min="520" max="520" width="14.7109375" style="17" customWidth="1"/>
    <col min="521" max="521" width="7" style="17" customWidth="1"/>
    <col min="522" max="522" width="6.85546875" style="17" customWidth="1"/>
    <col min="523" max="523" width="14.7109375" style="17" customWidth="1"/>
    <col min="524" max="528" width="14.5703125" style="17" customWidth="1"/>
    <col min="529" max="529" width="0.5703125" style="17" customWidth="1"/>
    <col min="530" max="771" width="9.140625" style="17"/>
    <col min="772" max="772" width="0.85546875" style="17" customWidth="1"/>
    <col min="773" max="773" width="14.7109375" style="17" customWidth="1"/>
    <col min="774" max="774" width="16.85546875" style="17" customWidth="1"/>
    <col min="775" max="775" width="42.85546875" style="17" customWidth="1"/>
    <col min="776" max="776" width="14.7109375" style="17" customWidth="1"/>
    <col min="777" max="777" width="7" style="17" customWidth="1"/>
    <col min="778" max="778" width="6.85546875" style="17" customWidth="1"/>
    <col min="779" max="779" width="14.7109375" style="17" customWidth="1"/>
    <col min="780" max="784" width="14.5703125" style="17" customWidth="1"/>
    <col min="785" max="785" width="0.5703125" style="17" customWidth="1"/>
    <col min="786" max="1027" width="9.140625" style="17"/>
    <col min="1028" max="1028" width="0.85546875" style="17" customWidth="1"/>
    <col min="1029" max="1029" width="14.7109375" style="17" customWidth="1"/>
    <col min="1030" max="1030" width="16.85546875" style="17" customWidth="1"/>
    <col min="1031" max="1031" width="42.85546875" style="17" customWidth="1"/>
    <col min="1032" max="1032" width="14.7109375" style="17" customWidth="1"/>
    <col min="1033" max="1033" width="7" style="17" customWidth="1"/>
    <col min="1034" max="1034" width="6.85546875" style="17" customWidth="1"/>
    <col min="1035" max="1035" width="14.7109375" style="17" customWidth="1"/>
    <col min="1036" max="1040" width="14.5703125" style="17" customWidth="1"/>
    <col min="1041" max="1041" width="0.5703125" style="17" customWidth="1"/>
    <col min="1042" max="1283" width="9.140625" style="17"/>
    <col min="1284" max="1284" width="0.85546875" style="17" customWidth="1"/>
    <col min="1285" max="1285" width="14.7109375" style="17" customWidth="1"/>
    <col min="1286" max="1286" width="16.85546875" style="17" customWidth="1"/>
    <col min="1287" max="1287" width="42.85546875" style="17" customWidth="1"/>
    <col min="1288" max="1288" width="14.7109375" style="17" customWidth="1"/>
    <col min="1289" max="1289" width="7" style="17" customWidth="1"/>
    <col min="1290" max="1290" width="6.85546875" style="17" customWidth="1"/>
    <col min="1291" max="1291" width="14.7109375" style="17" customWidth="1"/>
    <col min="1292" max="1296" width="14.5703125" style="17" customWidth="1"/>
    <col min="1297" max="1297" width="0.5703125" style="17" customWidth="1"/>
    <col min="1298" max="1539" width="9.140625" style="17"/>
    <col min="1540" max="1540" width="0.85546875" style="17" customWidth="1"/>
    <col min="1541" max="1541" width="14.7109375" style="17" customWidth="1"/>
    <col min="1542" max="1542" width="16.85546875" style="17" customWidth="1"/>
    <col min="1543" max="1543" width="42.85546875" style="17" customWidth="1"/>
    <col min="1544" max="1544" width="14.7109375" style="17" customWidth="1"/>
    <col min="1545" max="1545" width="7" style="17" customWidth="1"/>
    <col min="1546" max="1546" width="6.85546875" style="17" customWidth="1"/>
    <col min="1547" max="1547" width="14.7109375" style="17" customWidth="1"/>
    <col min="1548" max="1552" width="14.5703125" style="17" customWidth="1"/>
    <col min="1553" max="1553" width="0.5703125" style="17" customWidth="1"/>
    <col min="1554" max="1795" width="9.140625" style="17"/>
    <col min="1796" max="1796" width="0.85546875" style="17" customWidth="1"/>
    <col min="1797" max="1797" width="14.7109375" style="17" customWidth="1"/>
    <col min="1798" max="1798" width="16.85546875" style="17" customWidth="1"/>
    <col min="1799" max="1799" width="42.85546875" style="17" customWidth="1"/>
    <col min="1800" max="1800" width="14.7109375" style="17" customWidth="1"/>
    <col min="1801" max="1801" width="7" style="17" customWidth="1"/>
    <col min="1802" max="1802" width="6.85546875" style="17" customWidth="1"/>
    <col min="1803" max="1803" width="14.7109375" style="17" customWidth="1"/>
    <col min="1804" max="1808" width="14.5703125" style="17" customWidth="1"/>
    <col min="1809" max="1809" width="0.5703125" style="17" customWidth="1"/>
    <col min="1810" max="2051" width="9.140625" style="17"/>
    <col min="2052" max="2052" width="0.85546875" style="17" customWidth="1"/>
    <col min="2053" max="2053" width="14.7109375" style="17" customWidth="1"/>
    <col min="2054" max="2054" width="16.85546875" style="17" customWidth="1"/>
    <col min="2055" max="2055" width="42.85546875" style="17" customWidth="1"/>
    <col min="2056" max="2056" width="14.7109375" style="17" customWidth="1"/>
    <col min="2057" max="2057" width="7" style="17" customWidth="1"/>
    <col min="2058" max="2058" width="6.85546875" style="17" customWidth="1"/>
    <col min="2059" max="2059" width="14.7109375" style="17" customWidth="1"/>
    <col min="2060" max="2064" width="14.5703125" style="17" customWidth="1"/>
    <col min="2065" max="2065" width="0.5703125" style="17" customWidth="1"/>
    <col min="2066" max="2307" width="9.140625" style="17"/>
    <col min="2308" max="2308" width="0.85546875" style="17" customWidth="1"/>
    <col min="2309" max="2309" width="14.7109375" style="17" customWidth="1"/>
    <col min="2310" max="2310" width="16.85546875" style="17" customWidth="1"/>
    <col min="2311" max="2311" width="42.85546875" style="17" customWidth="1"/>
    <col min="2312" max="2312" width="14.7109375" style="17" customWidth="1"/>
    <col min="2313" max="2313" width="7" style="17" customWidth="1"/>
    <col min="2314" max="2314" width="6.85546875" style="17" customWidth="1"/>
    <col min="2315" max="2315" width="14.7109375" style="17" customWidth="1"/>
    <col min="2316" max="2320" width="14.5703125" style="17" customWidth="1"/>
    <col min="2321" max="2321" width="0.5703125" style="17" customWidth="1"/>
    <col min="2322" max="2563" width="9.140625" style="17"/>
    <col min="2564" max="2564" width="0.85546875" style="17" customWidth="1"/>
    <col min="2565" max="2565" width="14.7109375" style="17" customWidth="1"/>
    <col min="2566" max="2566" width="16.85546875" style="17" customWidth="1"/>
    <col min="2567" max="2567" width="42.85546875" style="17" customWidth="1"/>
    <col min="2568" max="2568" width="14.7109375" style="17" customWidth="1"/>
    <col min="2569" max="2569" width="7" style="17" customWidth="1"/>
    <col min="2570" max="2570" width="6.85546875" style="17" customWidth="1"/>
    <col min="2571" max="2571" width="14.7109375" style="17" customWidth="1"/>
    <col min="2572" max="2576" width="14.5703125" style="17" customWidth="1"/>
    <col min="2577" max="2577" width="0.5703125" style="17" customWidth="1"/>
    <col min="2578" max="2819" width="9.140625" style="17"/>
    <col min="2820" max="2820" width="0.85546875" style="17" customWidth="1"/>
    <col min="2821" max="2821" width="14.7109375" style="17" customWidth="1"/>
    <col min="2822" max="2822" width="16.85546875" style="17" customWidth="1"/>
    <col min="2823" max="2823" width="42.85546875" style="17" customWidth="1"/>
    <col min="2824" max="2824" width="14.7109375" style="17" customWidth="1"/>
    <col min="2825" max="2825" width="7" style="17" customWidth="1"/>
    <col min="2826" max="2826" width="6.85546875" style="17" customWidth="1"/>
    <col min="2827" max="2827" width="14.7109375" style="17" customWidth="1"/>
    <col min="2828" max="2832" width="14.5703125" style="17" customWidth="1"/>
    <col min="2833" max="2833" width="0.5703125" style="17" customWidth="1"/>
    <col min="2834" max="3075" width="9.140625" style="17"/>
    <col min="3076" max="3076" width="0.85546875" style="17" customWidth="1"/>
    <col min="3077" max="3077" width="14.7109375" style="17" customWidth="1"/>
    <col min="3078" max="3078" width="16.85546875" style="17" customWidth="1"/>
    <col min="3079" max="3079" width="42.85546875" style="17" customWidth="1"/>
    <col min="3080" max="3080" width="14.7109375" style="17" customWidth="1"/>
    <col min="3081" max="3081" width="7" style="17" customWidth="1"/>
    <col min="3082" max="3082" width="6.85546875" style="17" customWidth="1"/>
    <col min="3083" max="3083" width="14.7109375" style="17" customWidth="1"/>
    <col min="3084" max="3088" width="14.5703125" style="17" customWidth="1"/>
    <col min="3089" max="3089" width="0.5703125" style="17" customWidth="1"/>
    <col min="3090" max="3331" width="9.140625" style="17"/>
    <col min="3332" max="3332" width="0.85546875" style="17" customWidth="1"/>
    <col min="3333" max="3333" width="14.7109375" style="17" customWidth="1"/>
    <col min="3334" max="3334" width="16.85546875" style="17" customWidth="1"/>
    <col min="3335" max="3335" width="42.85546875" style="17" customWidth="1"/>
    <col min="3336" max="3336" width="14.7109375" style="17" customWidth="1"/>
    <col min="3337" max="3337" width="7" style="17" customWidth="1"/>
    <col min="3338" max="3338" width="6.85546875" style="17" customWidth="1"/>
    <col min="3339" max="3339" width="14.7109375" style="17" customWidth="1"/>
    <col min="3340" max="3344" width="14.5703125" style="17" customWidth="1"/>
    <col min="3345" max="3345" width="0.5703125" style="17" customWidth="1"/>
    <col min="3346" max="3587" width="9.140625" style="17"/>
    <col min="3588" max="3588" width="0.85546875" style="17" customWidth="1"/>
    <col min="3589" max="3589" width="14.7109375" style="17" customWidth="1"/>
    <col min="3590" max="3590" width="16.85546875" style="17" customWidth="1"/>
    <col min="3591" max="3591" width="42.85546875" style="17" customWidth="1"/>
    <col min="3592" max="3592" width="14.7109375" style="17" customWidth="1"/>
    <col min="3593" max="3593" width="7" style="17" customWidth="1"/>
    <col min="3594" max="3594" width="6.85546875" style="17" customWidth="1"/>
    <col min="3595" max="3595" width="14.7109375" style="17" customWidth="1"/>
    <col min="3596" max="3600" width="14.5703125" style="17" customWidth="1"/>
    <col min="3601" max="3601" width="0.5703125" style="17" customWidth="1"/>
    <col min="3602" max="3843" width="9.140625" style="17"/>
    <col min="3844" max="3844" width="0.85546875" style="17" customWidth="1"/>
    <col min="3845" max="3845" width="14.7109375" style="17" customWidth="1"/>
    <col min="3846" max="3846" width="16.85546875" style="17" customWidth="1"/>
    <col min="3847" max="3847" width="42.85546875" style="17" customWidth="1"/>
    <col min="3848" max="3848" width="14.7109375" style="17" customWidth="1"/>
    <col min="3849" max="3849" width="7" style="17" customWidth="1"/>
    <col min="3850" max="3850" width="6.85546875" style="17" customWidth="1"/>
    <col min="3851" max="3851" width="14.7109375" style="17" customWidth="1"/>
    <col min="3852" max="3856" width="14.5703125" style="17" customWidth="1"/>
    <col min="3857" max="3857" width="0.5703125" style="17" customWidth="1"/>
    <col min="3858" max="4099" width="9.140625" style="17"/>
    <col min="4100" max="4100" width="0.85546875" style="17" customWidth="1"/>
    <col min="4101" max="4101" width="14.7109375" style="17" customWidth="1"/>
    <col min="4102" max="4102" width="16.85546875" style="17" customWidth="1"/>
    <col min="4103" max="4103" width="42.85546875" style="17" customWidth="1"/>
    <col min="4104" max="4104" width="14.7109375" style="17" customWidth="1"/>
    <col min="4105" max="4105" width="7" style="17" customWidth="1"/>
    <col min="4106" max="4106" width="6.85546875" style="17" customWidth="1"/>
    <col min="4107" max="4107" width="14.7109375" style="17" customWidth="1"/>
    <col min="4108" max="4112" width="14.5703125" style="17" customWidth="1"/>
    <col min="4113" max="4113" width="0.5703125" style="17" customWidth="1"/>
    <col min="4114" max="4355" width="9.140625" style="17"/>
    <col min="4356" max="4356" width="0.85546875" style="17" customWidth="1"/>
    <col min="4357" max="4357" width="14.7109375" style="17" customWidth="1"/>
    <col min="4358" max="4358" width="16.85546875" style="17" customWidth="1"/>
    <col min="4359" max="4359" width="42.85546875" style="17" customWidth="1"/>
    <col min="4360" max="4360" width="14.7109375" style="17" customWidth="1"/>
    <col min="4361" max="4361" width="7" style="17" customWidth="1"/>
    <col min="4362" max="4362" width="6.85546875" style="17" customWidth="1"/>
    <col min="4363" max="4363" width="14.7109375" style="17" customWidth="1"/>
    <col min="4364" max="4368" width="14.5703125" style="17" customWidth="1"/>
    <col min="4369" max="4369" width="0.5703125" style="17" customWidth="1"/>
    <col min="4370" max="4611" width="9.140625" style="17"/>
    <col min="4612" max="4612" width="0.85546875" style="17" customWidth="1"/>
    <col min="4613" max="4613" width="14.7109375" style="17" customWidth="1"/>
    <col min="4614" max="4614" width="16.85546875" style="17" customWidth="1"/>
    <col min="4615" max="4615" width="42.85546875" style="17" customWidth="1"/>
    <col min="4616" max="4616" width="14.7109375" style="17" customWidth="1"/>
    <col min="4617" max="4617" width="7" style="17" customWidth="1"/>
    <col min="4618" max="4618" width="6.85546875" style="17" customWidth="1"/>
    <col min="4619" max="4619" width="14.7109375" style="17" customWidth="1"/>
    <col min="4620" max="4624" width="14.5703125" style="17" customWidth="1"/>
    <col min="4625" max="4625" width="0.5703125" style="17" customWidth="1"/>
    <col min="4626" max="4867" width="9.140625" style="17"/>
    <col min="4868" max="4868" width="0.85546875" style="17" customWidth="1"/>
    <col min="4869" max="4869" width="14.7109375" style="17" customWidth="1"/>
    <col min="4870" max="4870" width="16.85546875" style="17" customWidth="1"/>
    <col min="4871" max="4871" width="42.85546875" style="17" customWidth="1"/>
    <col min="4872" max="4872" width="14.7109375" style="17" customWidth="1"/>
    <col min="4873" max="4873" width="7" style="17" customWidth="1"/>
    <col min="4874" max="4874" width="6.85546875" style="17" customWidth="1"/>
    <col min="4875" max="4875" width="14.7109375" style="17" customWidth="1"/>
    <col min="4876" max="4880" width="14.5703125" style="17" customWidth="1"/>
    <col min="4881" max="4881" width="0.5703125" style="17" customWidth="1"/>
    <col min="4882" max="5123" width="9.140625" style="17"/>
    <col min="5124" max="5124" width="0.85546875" style="17" customWidth="1"/>
    <col min="5125" max="5125" width="14.7109375" style="17" customWidth="1"/>
    <col min="5126" max="5126" width="16.85546875" style="17" customWidth="1"/>
    <col min="5127" max="5127" width="42.85546875" style="17" customWidth="1"/>
    <col min="5128" max="5128" width="14.7109375" style="17" customWidth="1"/>
    <col min="5129" max="5129" width="7" style="17" customWidth="1"/>
    <col min="5130" max="5130" width="6.85546875" style="17" customWidth="1"/>
    <col min="5131" max="5131" width="14.7109375" style="17" customWidth="1"/>
    <col min="5132" max="5136" width="14.5703125" style="17" customWidth="1"/>
    <col min="5137" max="5137" width="0.5703125" style="17" customWidth="1"/>
    <col min="5138" max="5379" width="9.140625" style="17"/>
    <col min="5380" max="5380" width="0.85546875" style="17" customWidth="1"/>
    <col min="5381" max="5381" width="14.7109375" style="17" customWidth="1"/>
    <col min="5382" max="5382" width="16.85546875" style="17" customWidth="1"/>
    <col min="5383" max="5383" width="42.85546875" style="17" customWidth="1"/>
    <col min="5384" max="5384" width="14.7109375" style="17" customWidth="1"/>
    <col min="5385" max="5385" width="7" style="17" customWidth="1"/>
    <col min="5386" max="5386" width="6.85546875" style="17" customWidth="1"/>
    <col min="5387" max="5387" width="14.7109375" style="17" customWidth="1"/>
    <col min="5388" max="5392" width="14.5703125" style="17" customWidth="1"/>
    <col min="5393" max="5393" width="0.5703125" style="17" customWidth="1"/>
    <col min="5394" max="5635" width="9.140625" style="17"/>
    <col min="5636" max="5636" width="0.85546875" style="17" customWidth="1"/>
    <col min="5637" max="5637" width="14.7109375" style="17" customWidth="1"/>
    <col min="5638" max="5638" width="16.85546875" style="17" customWidth="1"/>
    <col min="5639" max="5639" width="42.85546875" style="17" customWidth="1"/>
    <col min="5640" max="5640" width="14.7109375" style="17" customWidth="1"/>
    <col min="5641" max="5641" width="7" style="17" customWidth="1"/>
    <col min="5642" max="5642" width="6.85546875" style="17" customWidth="1"/>
    <col min="5643" max="5643" width="14.7109375" style="17" customWidth="1"/>
    <col min="5644" max="5648" width="14.5703125" style="17" customWidth="1"/>
    <col min="5649" max="5649" width="0.5703125" style="17" customWidth="1"/>
    <col min="5650" max="5891" width="9.140625" style="17"/>
    <col min="5892" max="5892" width="0.85546875" style="17" customWidth="1"/>
    <col min="5893" max="5893" width="14.7109375" style="17" customWidth="1"/>
    <col min="5894" max="5894" width="16.85546875" style="17" customWidth="1"/>
    <col min="5895" max="5895" width="42.85546875" style="17" customWidth="1"/>
    <col min="5896" max="5896" width="14.7109375" style="17" customWidth="1"/>
    <col min="5897" max="5897" width="7" style="17" customWidth="1"/>
    <col min="5898" max="5898" width="6.85546875" style="17" customWidth="1"/>
    <col min="5899" max="5899" width="14.7109375" style="17" customWidth="1"/>
    <col min="5900" max="5904" width="14.5703125" style="17" customWidth="1"/>
    <col min="5905" max="5905" width="0.5703125" style="17" customWidth="1"/>
    <col min="5906" max="6147" width="9.140625" style="17"/>
    <col min="6148" max="6148" width="0.85546875" style="17" customWidth="1"/>
    <col min="6149" max="6149" width="14.7109375" style="17" customWidth="1"/>
    <col min="6150" max="6150" width="16.85546875" style="17" customWidth="1"/>
    <col min="6151" max="6151" width="42.85546875" style="17" customWidth="1"/>
    <col min="6152" max="6152" width="14.7109375" style="17" customWidth="1"/>
    <col min="6153" max="6153" width="7" style="17" customWidth="1"/>
    <col min="6154" max="6154" width="6.85546875" style="17" customWidth="1"/>
    <col min="6155" max="6155" width="14.7109375" style="17" customWidth="1"/>
    <col min="6156" max="6160" width="14.5703125" style="17" customWidth="1"/>
    <col min="6161" max="6161" width="0.5703125" style="17" customWidth="1"/>
    <col min="6162" max="6403" width="9.140625" style="17"/>
    <col min="6404" max="6404" width="0.85546875" style="17" customWidth="1"/>
    <col min="6405" max="6405" width="14.7109375" style="17" customWidth="1"/>
    <col min="6406" max="6406" width="16.85546875" style="17" customWidth="1"/>
    <col min="6407" max="6407" width="42.85546875" style="17" customWidth="1"/>
    <col min="6408" max="6408" width="14.7109375" style="17" customWidth="1"/>
    <col min="6409" max="6409" width="7" style="17" customWidth="1"/>
    <col min="6410" max="6410" width="6.85546875" style="17" customWidth="1"/>
    <col min="6411" max="6411" width="14.7109375" style="17" customWidth="1"/>
    <col min="6412" max="6416" width="14.5703125" style="17" customWidth="1"/>
    <col min="6417" max="6417" width="0.5703125" style="17" customWidth="1"/>
    <col min="6418" max="6659" width="9.140625" style="17"/>
    <col min="6660" max="6660" width="0.85546875" style="17" customWidth="1"/>
    <col min="6661" max="6661" width="14.7109375" style="17" customWidth="1"/>
    <col min="6662" max="6662" width="16.85546875" style="17" customWidth="1"/>
    <col min="6663" max="6663" width="42.85546875" style="17" customWidth="1"/>
    <col min="6664" max="6664" width="14.7109375" style="17" customWidth="1"/>
    <col min="6665" max="6665" width="7" style="17" customWidth="1"/>
    <col min="6666" max="6666" width="6.85546875" style="17" customWidth="1"/>
    <col min="6667" max="6667" width="14.7109375" style="17" customWidth="1"/>
    <col min="6668" max="6672" width="14.5703125" style="17" customWidth="1"/>
    <col min="6673" max="6673" width="0.5703125" style="17" customWidth="1"/>
    <col min="6674" max="6915" width="9.140625" style="17"/>
    <col min="6916" max="6916" width="0.85546875" style="17" customWidth="1"/>
    <col min="6917" max="6917" width="14.7109375" style="17" customWidth="1"/>
    <col min="6918" max="6918" width="16.85546875" style="17" customWidth="1"/>
    <col min="6919" max="6919" width="42.85546875" style="17" customWidth="1"/>
    <col min="6920" max="6920" width="14.7109375" style="17" customWidth="1"/>
    <col min="6921" max="6921" width="7" style="17" customWidth="1"/>
    <col min="6922" max="6922" width="6.85546875" style="17" customWidth="1"/>
    <col min="6923" max="6923" width="14.7109375" style="17" customWidth="1"/>
    <col min="6924" max="6928" width="14.5703125" style="17" customWidth="1"/>
    <col min="6929" max="6929" width="0.5703125" style="17" customWidth="1"/>
    <col min="6930" max="7171" width="9.140625" style="17"/>
    <col min="7172" max="7172" width="0.85546875" style="17" customWidth="1"/>
    <col min="7173" max="7173" width="14.7109375" style="17" customWidth="1"/>
    <col min="7174" max="7174" width="16.85546875" style="17" customWidth="1"/>
    <col min="7175" max="7175" width="42.85546875" style="17" customWidth="1"/>
    <col min="7176" max="7176" width="14.7109375" style="17" customWidth="1"/>
    <col min="7177" max="7177" width="7" style="17" customWidth="1"/>
    <col min="7178" max="7178" width="6.85546875" style="17" customWidth="1"/>
    <col min="7179" max="7179" width="14.7109375" style="17" customWidth="1"/>
    <col min="7180" max="7184" width="14.5703125" style="17" customWidth="1"/>
    <col min="7185" max="7185" width="0.5703125" style="17" customWidth="1"/>
    <col min="7186" max="7427" width="9.140625" style="17"/>
    <col min="7428" max="7428" width="0.85546875" style="17" customWidth="1"/>
    <col min="7429" max="7429" width="14.7109375" style="17" customWidth="1"/>
    <col min="7430" max="7430" width="16.85546875" style="17" customWidth="1"/>
    <col min="7431" max="7431" width="42.85546875" style="17" customWidth="1"/>
    <col min="7432" max="7432" width="14.7109375" style="17" customWidth="1"/>
    <col min="7433" max="7433" width="7" style="17" customWidth="1"/>
    <col min="7434" max="7434" width="6.85546875" style="17" customWidth="1"/>
    <col min="7435" max="7435" width="14.7109375" style="17" customWidth="1"/>
    <col min="7436" max="7440" width="14.5703125" style="17" customWidth="1"/>
    <col min="7441" max="7441" width="0.5703125" style="17" customWidth="1"/>
    <col min="7442" max="7683" width="9.140625" style="17"/>
    <col min="7684" max="7684" width="0.85546875" style="17" customWidth="1"/>
    <col min="7685" max="7685" width="14.7109375" style="17" customWidth="1"/>
    <col min="7686" max="7686" width="16.85546875" style="17" customWidth="1"/>
    <col min="7687" max="7687" width="42.85546875" style="17" customWidth="1"/>
    <col min="7688" max="7688" width="14.7109375" style="17" customWidth="1"/>
    <col min="7689" max="7689" width="7" style="17" customWidth="1"/>
    <col min="7690" max="7690" width="6.85546875" style="17" customWidth="1"/>
    <col min="7691" max="7691" width="14.7109375" style="17" customWidth="1"/>
    <col min="7692" max="7696" width="14.5703125" style="17" customWidth="1"/>
    <col min="7697" max="7697" width="0.5703125" style="17" customWidth="1"/>
    <col min="7698" max="7939" width="9.140625" style="17"/>
    <col min="7940" max="7940" width="0.85546875" style="17" customWidth="1"/>
    <col min="7941" max="7941" width="14.7109375" style="17" customWidth="1"/>
    <col min="7942" max="7942" width="16.85546875" style="17" customWidth="1"/>
    <col min="7943" max="7943" width="42.85546875" style="17" customWidth="1"/>
    <col min="7944" max="7944" width="14.7109375" style="17" customWidth="1"/>
    <col min="7945" max="7945" width="7" style="17" customWidth="1"/>
    <col min="7946" max="7946" width="6.85546875" style="17" customWidth="1"/>
    <col min="7947" max="7947" width="14.7109375" style="17" customWidth="1"/>
    <col min="7948" max="7952" width="14.5703125" style="17" customWidth="1"/>
    <col min="7953" max="7953" width="0.5703125" style="17" customWidth="1"/>
    <col min="7954" max="8195" width="9.140625" style="17"/>
    <col min="8196" max="8196" width="0.85546875" style="17" customWidth="1"/>
    <col min="8197" max="8197" width="14.7109375" style="17" customWidth="1"/>
    <col min="8198" max="8198" width="16.85546875" style="17" customWidth="1"/>
    <col min="8199" max="8199" width="42.85546875" style="17" customWidth="1"/>
    <col min="8200" max="8200" width="14.7109375" style="17" customWidth="1"/>
    <col min="8201" max="8201" width="7" style="17" customWidth="1"/>
    <col min="8202" max="8202" width="6.85546875" style="17" customWidth="1"/>
    <col min="8203" max="8203" width="14.7109375" style="17" customWidth="1"/>
    <col min="8204" max="8208" width="14.5703125" style="17" customWidth="1"/>
    <col min="8209" max="8209" width="0.5703125" style="17" customWidth="1"/>
    <col min="8210" max="8451" width="9.140625" style="17"/>
    <col min="8452" max="8452" width="0.85546875" style="17" customWidth="1"/>
    <col min="8453" max="8453" width="14.7109375" style="17" customWidth="1"/>
    <col min="8454" max="8454" width="16.85546875" style="17" customWidth="1"/>
    <col min="8455" max="8455" width="42.85546875" style="17" customWidth="1"/>
    <col min="8456" max="8456" width="14.7109375" style="17" customWidth="1"/>
    <col min="8457" max="8457" width="7" style="17" customWidth="1"/>
    <col min="8458" max="8458" width="6.85546875" style="17" customWidth="1"/>
    <col min="8459" max="8459" width="14.7109375" style="17" customWidth="1"/>
    <col min="8460" max="8464" width="14.5703125" style="17" customWidth="1"/>
    <col min="8465" max="8465" width="0.5703125" style="17" customWidth="1"/>
    <col min="8466" max="8707" width="9.140625" style="17"/>
    <col min="8708" max="8708" width="0.85546875" style="17" customWidth="1"/>
    <col min="8709" max="8709" width="14.7109375" style="17" customWidth="1"/>
    <col min="8710" max="8710" width="16.85546875" style="17" customWidth="1"/>
    <col min="8711" max="8711" width="42.85546875" style="17" customWidth="1"/>
    <col min="8712" max="8712" width="14.7109375" style="17" customWidth="1"/>
    <col min="8713" max="8713" width="7" style="17" customWidth="1"/>
    <col min="8714" max="8714" width="6.85546875" style="17" customWidth="1"/>
    <col min="8715" max="8715" width="14.7109375" style="17" customWidth="1"/>
    <col min="8716" max="8720" width="14.5703125" style="17" customWidth="1"/>
    <col min="8721" max="8721" width="0.5703125" style="17" customWidth="1"/>
    <col min="8722" max="8963" width="9.140625" style="17"/>
    <col min="8964" max="8964" width="0.85546875" style="17" customWidth="1"/>
    <col min="8965" max="8965" width="14.7109375" style="17" customWidth="1"/>
    <col min="8966" max="8966" width="16.85546875" style="17" customWidth="1"/>
    <col min="8967" max="8967" width="42.85546875" style="17" customWidth="1"/>
    <col min="8968" max="8968" width="14.7109375" style="17" customWidth="1"/>
    <col min="8969" max="8969" width="7" style="17" customWidth="1"/>
    <col min="8970" max="8970" width="6.85546875" style="17" customWidth="1"/>
    <col min="8971" max="8971" width="14.7109375" style="17" customWidth="1"/>
    <col min="8972" max="8976" width="14.5703125" style="17" customWidth="1"/>
    <col min="8977" max="8977" width="0.5703125" style="17" customWidth="1"/>
    <col min="8978" max="9219" width="9.140625" style="17"/>
    <col min="9220" max="9220" width="0.85546875" style="17" customWidth="1"/>
    <col min="9221" max="9221" width="14.7109375" style="17" customWidth="1"/>
    <col min="9222" max="9222" width="16.85546875" style="17" customWidth="1"/>
    <col min="9223" max="9223" width="42.85546875" style="17" customWidth="1"/>
    <col min="9224" max="9224" width="14.7109375" style="17" customWidth="1"/>
    <col min="9225" max="9225" width="7" style="17" customWidth="1"/>
    <col min="9226" max="9226" width="6.85546875" style="17" customWidth="1"/>
    <col min="9227" max="9227" width="14.7109375" style="17" customWidth="1"/>
    <col min="9228" max="9232" width="14.5703125" style="17" customWidth="1"/>
    <col min="9233" max="9233" width="0.5703125" style="17" customWidth="1"/>
    <col min="9234" max="9475" width="9.140625" style="17"/>
    <col min="9476" max="9476" width="0.85546875" style="17" customWidth="1"/>
    <col min="9477" max="9477" width="14.7109375" style="17" customWidth="1"/>
    <col min="9478" max="9478" width="16.85546875" style="17" customWidth="1"/>
    <col min="9479" max="9479" width="42.85546875" style="17" customWidth="1"/>
    <col min="9480" max="9480" width="14.7109375" style="17" customWidth="1"/>
    <col min="9481" max="9481" width="7" style="17" customWidth="1"/>
    <col min="9482" max="9482" width="6.85546875" style="17" customWidth="1"/>
    <col min="9483" max="9483" width="14.7109375" style="17" customWidth="1"/>
    <col min="9484" max="9488" width="14.5703125" style="17" customWidth="1"/>
    <col min="9489" max="9489" width="0.5703125" style="17" customWidth="1"/>
    <col min="9490" max="9731" width="9.140625" style="17"/>
    <col min="9732" max="9732" width="0.85546875" style="17" customWidth="1"/>
    <col min="9733" max="9733" width="14.7109375" style="17" customWidth="1"/>
    <col min="9734" max="9734" width="16.85546875" style="17" customWidth="1"/>
    <col min="9735" max="9735" width="42.85546875" style="17" customWidth="1"/>
    <col min="9736" max="9736" width="14.7109375" style="17" customWidth="1"/>
    <col min="9737" max="9737" width="7" style="17" customWidth="1"/>
    <col min="9738" max="9738" width="6.85546875" style="17" customWidth="1"/>
    <col min="9739" max="9739" width="14.7109375" style="17" customWidth="1"/>
    <col min="9740" max="9744" width="14.5703125" style="17" customWidth="1"/>
    <col min="9745" max="9745" width="0.5703125" style="17" customWidth="1"/>
    <col min="9746" max="9987" width="9.140625" style="17"/>
    <col min="9988" max="9988" width="0.85546875" style="17" customWidth="1"/>
    <col min="9989" max="9989" width="14.7109375" style="17" customWidth="1"/>
    <col min="9990" max="9990" width="16.85546875" style="17" customWidth="1"/>
    <col min="9991" max="9991" width="42.85546875" style="17" customWidth="1"/>
    <col min="9992" max="9992" width="14.7109375" style="17" customWidth="1"/>
    <col min="9993" max="9993" width="7" style="17" customWidth="1"/>
    <col min="9994" max="9994" width="6.85546875" style="17" customWidth="1"/>
    <col min="9995" max="9995" width="14.7109375" style="17" customWidth="1"/>
    <col min="9996" max="10000" width="14.5703125" style="17" customWidth="1"/>
    <col min="10001" max="10001" width="0.5703125" style="17" customWidth="1"/>
    <col min="10002" max="10243" width="9.140625" style="17"/>
    <col min="10244" max="10244" width="0.85546875" style="17" customWidth="1"/>
    <col min="10245" max="10245" width="14.7109375" style="17" customWidth="1"/>
    <col min="10246" max="10246" width="16.85546875" style="17" customWidth="1"/>
    <col min="10247" max="10247" width="42.85546875" style="17" customWidth="1"/>
    <col min="10248" max="10248" width="14.7109375" style="17" customWidth="1"/>
    <col min="10249" max="10249" width="7" style="17" customWidth="1"/>
    <col min="10250" max="10250" width="6.85546875" style="17" customWidth="1"/>
    <col min="10251" max="10251" width="14.7109375" style="17" customWidth="1"/>
    <col min="10252" max="10256" width="14.5703125" style="17" customWidth="1"/>
    <col min="10257" max="10257" width="0.5703125" style="17" customWidth="1"/>
    <col min="10258" max="10499" width="9.140625" style="17"/>
    <col min="10500" max="10500" width="0.85546875" style="17" customWidth="1"/>
    <col min="10501" max="10501" width="14.7109375" style="17" customWidth="1"/>
    <col min="10502" max="10502" width="16.85546875" style="17" customWidth="1"/>
    <col min="10503" max="10503" width="42.85546875" style="17" customWidth="1"/>
    <col min="10504" max="10504" width="14.7109375" style="17" customWidth="1"/>
    <col min="10505" max="10505" width="7" style="17" customWidth="1"/>
    <col min="10506" max="10506" width="6.85546875" style="17" customWidth="1"/>
    <col min="10507" max="10507" width="14.7109375" style="17" customWidth="1"/>
    <col min="10508" max="10512" width="14.5703125" style="17" customWidth="1"/>
    <col min="10513" max="10513" width="0.5703125" style="17" customWidth="1"/>
    <col min="10514" max="10755" width="9.140625" style="17"/>
    <col min="10756" max="10756" width="0.85546875" style="17" customWidth="1"/>
    <col min="10757" max="10757" width="14.7109375" style="17" customWidth="1"/>
    <col min="10758" max="10758" width="16.85546875" style="17" customWidth="1"/>
    <col min="10759" max="10759" width="42.85546875" style="17" customWidth="1"/>
    <col min="10760" max="10760" width="14.7109375" style="17" customWidth="1"/>
    <col min="10761" max="10761" width="7" style="17" customWidth="1"/>
    <col min="10762" max="10762" width="6.85546875" style="17" customWidth="1"/>
    <col min="10763" max="10763" width="14.7109375" style="17" customWidth="1"/>
    <col min="10764" max="10768" width="14.5703125" style="17" customWidth="1"/>
    <col min="10769" max="10769" width="0.5703125" style="17" customWidth="1"/>
    <col min="10770" max="11011" width="9.140625" style="17"/>
    <col min="11012" max="11012" width="0.85546875" style="17" customWidth="1"/>
    <col min="11013" max="11013" width="14.7109375" style="17" customWidth="1"/>
    <col min="11014" max="11014" width="16.85546875" style="17" customWidth="1"/>
    <col min="11015" max="11015" width="42.85546875" style="17" customWidth="1"/>
    <col min="11016" max="11016" width="14.7109375" style="17" customWidth="1"/>
    <col min="11017" max="11017" width="7" style="17" customWidth="1"/>
    <col min="11018" max="11018" width="6.85546875" style="17" customWidth="1"/>
    <col min="11019" max="11019" width="14.7109375" style="17" customWidth="1"/>
    <col min="11020" max="11024" width="14.5703125" style="17" customWidth="1"/>
    <col min="11025" max="11025" width="0.5703125" style="17" customWidth="1"/>
    <col min="11026" max="11267" width="9.140625" style="17"/>
    <col min="11268" max="11268" width="0.85546875" style="17" customWidth="1"/>
    <col min="11269" max="11269" width="14.7109375" style="17" customWidth="1"/>
    <col min="11270" max="11270" width="16.85546875" style="17" customWidth="1"/>
    <col min="11271" max="11271" width="42.85546875" style="17" customWidth="1"/>
    <col min="11272" max="11272" width="14.7109375" style="17" customWidth="1"/>
    <col min="11273" max="11273" width="7" style="17" customWidth="1"/>
    <col min="11274" max="11274" width="6.85546875" style="17" customWidth="1"/>
    <col min="11275" max="11275" width="14.7109375" style="17" customWidth="1"/>
    <col min="11276" max="11280" width="14.5703125" style="17" customWidth="1"/>
    <col min="11281" max="11281" width="0.5703125" style="17" customWidth="1"/>
    <col min="11282" max="11523" width="9.140625" style="17"/>
    <col min="11524" max="11524" width="0.85546875" style="17" customWidth="1"/>
    <col min="11525" max="11525" width="14.7109375" style="17" customWidth="1"/>
    <col min="11526" max="11526" width="16.85546875" style="17" customWidth="1"/>
    <col min="11527" max="11527" width="42.85546875" style="17" customWidth="1"/>
    <col min="11528" max="11528" width="14.7109375" style="17" customWidth="1"/>
    <col min="11529" max="11529" width="7" style="17" customWidth="1"/>
    <col min="11530" max="11530" width="6.85546875" style="17" customWidth="1"/>
    <col min="11531" max="11531" width="14.7109375" style="17" customWidth="1"/>
    <col min="11532" max="11536" width="14.5703125" style="17" customWidth="1"/>
    <col min="11537" max="11537" width="0.5703125" style="17" customWidth="1"/>
    <col min="11538" max="11779" width="9.140625" style="17"/>
    <col min="11780" max="11780" width="0.85546875" style="17" customWidth="1"/>
    <col min="11781" max="11781" width="14.7109375" style="17" customWidth="1"/>
    <col min="11782" max="11782" width="16.85546875" style="17" customWidth="1"/>
    <col min="11783" max="11783" width="42.85546875" style="17" customWidth="1"/>
    <col min="11784" max="11784" width="14.7109375" style="17" customWidth="1"/>
    <col min="11785" max="11785" width="7" style="17" customWidth="1"/>
    <col min="11786" max="11786" width="6.85546875" style="17" customWidth="1"/>
    <col min="11787" max="11787" width="14.7109375" style="17" customWidth="1"/>
    <col min="11788" max="11792" width="14.5703125" style="17" customWidth="1"/>
    <col min="11793" max="11793" width="0.5703125" style="17" customWidth="1"/>
    <col min="11794" max="12035" width="9.140625" style="17"/>
    <col min="12036" max="12036" width="0.85546875" style="17" customWidth="1"/>
    <col min="12037" max="12037" width="14.7109375" style="17" customWidth="1"/>
    <col min="12038" max="12038" width="16.85546875" style="17" customWidth="1"/>
    <col min="12039" max="12039" width="42.85546875" style="17" customWidth="1"/>
    <col min="12040" max="12040" width="14.7109375" style="17" customWidth="1"/>
    <col min="12041" max="12041" width="7" style="17" customWidth="1"/>
    <col min="12042" max="12042" width="6.85546875" style="17" customWidth="1"/>
    <col min="12043" max="12043" width="14.7109375" style="17" customWidth="1"/>
    <col min="12044" max="12048" width="14.5703125" style="17" customWidth="1"/>
    <col min="12049" max="12049" width="0.5703125" style="17" customWidth="1"/>
    <col min="12050" max="12291" width="9.140625" style="17"/>
    <col min="12292" max="12292" width="0.85546875" style="17" customWidth="1"/>
    <col min="12293" max="12293" width="14.7109375" style="17" customWidth="1"/>
    <col min="12294" max="12294" width="16.85546875" style="17" customWidth="1"/>
    <col min="12295" max="12295" width="42.85546875" style="17" customWidth="1"/>
    <col min="12296" max="12296" width="14.7109375" style="17" customWidth="1"/>
    <col min="12297" max="12297" width="7" style="17" customWidth="1"/>
    <col min="12298" max="12298" width="6.85546875" style="17" customWidth="1"/>
    <col min="12299" max="12299" width="14.7109375" style="17" customWidth="1"/>
    <col min="12300" max="12304" width="14.5703125" style="17" customWidth="1"/>
    <col min="12305" max="12305" width="0.5703125" style="17" customWidth="1"/>
    <col min="12306" max="12547" width="9.140625" style="17"/>
    <col min="12548" max="12548" width="0.85546875" style="17" customWidth="1"/>
    <col min="12549" max="12549" width="14.7109375" style="17" customWidth="1"/>
    <col min="12550" max="12550" width="16.85546875" style="17" customWidth="1"/>
    <col min="12551" max="12551" width="42.85546875" style="17" customWidth="1"/>
    <col min="12552" max="12552" width="14.7109375" style="17" customWidth="1"/>
    <col min="12553" max="12553" width="7" style="17" customWidth="1"/>
    <col min="12554" max="12554" width="6.85546875" style="17" customWidth="1"/>
    <col min="12555" max="12555" width="14.7109375" style="17" customWidth="1"/>
    <col min="12556" max="12560" width="14.5703125" style="17" customWidth="1"/>
    <col min="12561" max="12561" width="0.5703125" style="17" customWidth="1"/>
    <col min="12562" max="12803" width="9.140625" style="17"/>
    <col min="12804" max="12804" width="0.85546875" style="17" customWidth="1"/>
    <col min="12805" max="12805" width="14.7109375" style="17" customWidth="1"/>
    <col min="12806" max="12806" width="16.85546875" style="17" customWidth="1"/>
    <col min="12807" max="12807" width="42.85546875" style="17" customWidth="1"/>
    <col min="12808" max="12808" width="14.7109375" style="17" customWidth="1"/>
    <col min="12809" max="12809" width="7" style="17" customWidth="1"/>
    <col min="12810" max="12810" width="6.85546875" style="17" customWidth="1"/>
    <col min="12811" max="12811" width="14.7109375" style="17" customWidth="1"/>
    <col min="12812" max="12816" width="14.5703125" style="17" customWidth="1"/>
    <col min="12817" max="12817" width="0.5703125" style="17" customWidth="1"/>
    <col min="12818" max="13059" width="9.140625" style="17"/>
    <col min="13060" max="13060" width="0.85546875" style="17" customWidth="1"/>
    <col min="13061" max="13061" width="14.7109375" style="17" customWidth="1"/>
    <col min="13062" max="13062" width="16.85546875" style="17" customWidth="1"/>
    <col min="13063" max="13063" width="42.85546875" style="17" customWidth="1"/>
    <col min="13064" max="13064" width="14.7109375" style="17" customWidth="1"/>
    <col min="13065" max="13065" width="7" style="17" customWidth="1"/>
    <col min="13066" max="13066" width="6.85546875" style="17" customWidth="1"/>
    <col min="13067" max="13067" width="14.7109375" style="17" customWidth="1"/>
    <col min="13068" max="13072" width="14.5703125" style="17" customWidth="1"/>
    <col min="13073" max="13073" width="0.5703125" style="17" customWidth="1"/>
    <col min="13074" max="13315" width="9.140625" style="17"/>
    <col min="13316" max="13316" width="0.85546875" style="17" customWidth="1"/>
    <col min="13317" max="13317" width="14.7109375" style="17" customWidth="1"/>
    <col min="13318" max="13318" width="16.85546875" style="17" customWidth="1"/>
    <col min="13319" max="13319" width="42.85546875" style="17" customWidth="1"/>
    <col min="13320" max="13320" width="14.7109375" style="17" customWidth="1"/>
    <col min="13321" max="13321" width="7" style="17" customWidth="1"/>
    <col min="13322" max="13322" width="6.85546875" style="17" customWidth="1"/>
    <col min="13323" max="13323" width="14.7109375" style="17" customWidth="1"/>
    <col min="13324" max="13328" width="14.5703125" style="17" customWidth="1"/>
    <col min="13329" max="13329" width="0.5703125" style="17" customWidth="1"/>
    <col min="13330" max="13571" width="9.140625" style="17"/>
    <col min="13572" max="13572" width="0.85546875" style="17" customWidth="1"/>
    <col min="13573" max="13573" width="14.7109375" style="17" customWidth="1"/>
    <col min="13574" max="13574" width="16.85546875" style="17" customWidth="1"/>
    <col min="13575" max="13575" width="42.85546875" style="17" customWidth="1"/>
    <col min="13576" max="13576" width="14.7109375" style="17" customWidth="1"/>
    <col min="13577" max="13577" width="7" style="17" customWidth="1"/>
    <col min="13578" max="13578" width="6.85546875" style="17" customWidth="1"/>
    <col min="13579" max="13579" width="14.7109375" style="17" customWidth="1"/>
    <col min="13580" max="13584" width="14.5703125" style="17" customWidth="1"/>
    <col min="13585" max="13585" width="0.5703125" style="17" customWidth="1"/>
    <col min="13586" max="13827" width="9.140625" style="17"/>
    <col min="13828" max="13828" width="0.85546875" style="17" customWidth="1"/>
    <col min="13829" max="13829" width="14.7109375" style="17" customWidth="1"/>
    <col min="13830" max="13830" width="16.85546875" style="17" customWidth="1"/>
    <col min="13831" max="13831" width="42.85546875" style="17" customWidth="1"/>
    <col min="13832" max="13832" width="14.7109375" style="17" customWidth="1"/>
    <col min="13833" max="13833" width="7" style="17" customWidth="1"/>
    <col min="13834" max="13834" width="6.85546875" style="17" customWidth="1"/>
    <col min="13835" max="13835" width="14.7109375" style="17" customWidth="1"/>
    <col min="13836" max="13840" width="14.5703125" style="17" customWidth="1"/>
    <col min="13841" max="13841" width="0.5703125" style="17" customWidth="1"/>
    <col min="13842" max="14083" width="9.140625" style="17"/>
    <col min="14084" max="14084" width="0.85546875" style="17" customWidth="1"/>
    <col min="14085" max="14085" width="14.7109375" style="17" customWidth="1"/>
    <col min="14086" max="14086" width="16.85546875" style="17" customWidth="1"/>
    <col min="14087" max="14087" width="42.85546875" style="17" customWidth="1"/>
    <col min="14088" max="14088" width="14.7109375" style="17" customWidth="1"/>
    <col min="14089" max="14089" width="7" style="17" customWidth="1"/>
    <col min="14090" max="14090" width="6.85546875" style="17" customWidth="1"/>
    <col min="14091" max="14091" width="14.7109375" style="17" customWidth="1"/>
    <col min="14092" max="14096" width="14.5703125" style="17" customWidth="1"/>
    <col min="14097" max="14097" width="0.5703125" style="17" customWidth="1"/>
    <col min="14098" max="14339" width="9.140625" style="17"/>
    <col min="14340" max="14340" width="0.85546875" style="17" customWidth="1"/>
    <col min="14341" max="14341" width="14.7109375" style="17" customWidth="1"/>
    <col min="14342" max="14342" width="16.85546875" style="17" customWidth="1"/>
    <col min="14343" max="14343" width="42.85546875" style="17" customWidth="1"/>
    <col min="14344" max="14344" width="14.7109375" style="17" customWidth="1"/>
    <col min="14345" max="14345" width="7" style="17" customWidth="1"/>
    <col min="14346" max="14346" width="6.85546875" style="17" customWidth="1"/>
    <col min="14347" max="14347" width="14.7109375" style="17" customWidth="1"/>
    <col min="14348" max="14352" width="14.5703125" style="17" customWidth="1"/>
    <col min="14353" max="14353" width="0.5703125" style="17" customWidth="1"/>
    <col min="14354" max="14595" width="9.140625" style="17"/>
    <col min="14596" max="14596" width="0.85546875" style="17" customWidth="1"/>
    <col min="14597" max="14597" width="14.7109375" style="17" customWidth="1"/>
    <col min="14598" max="14598" width="16.85546875" style="17" customWidth="1"/>
    <col min="14599" max="14599" width="42.85546875" style="17" customWidth="1"/>
    <col min="14600" max="14600" width="14.7109375" style="17" customWidth="1"/>
    <col min="14601" max="14601" width="7" style="17" customWidth="1"/>
    <col min="14602" max="14602" width="6.85546875" style="17" customWidth="1"/>
    <col min="14603" max="14603" width="14.7109375" style="17" customWidth="1"/>
    <col min="14604" max="14608" width="14.5703125" style="17" customWidth="1"/>
    <col min="14609" max="14609" width="0.5703125" style="17" customWidth="1"/>
    <col min="14610" max="14851" width="9.140625" style="17"/>
    <col min="14852" max="14852" width="0.85546875" style="17" customWidth="1"/>
    <col min="14853" max="14853" width="14.7109375" style="17" customWidth="1"/>
    <col min="14854" max="14854" width="16.85546875" style="17" customWidth="1"/>
    <col min="14855" max="14855" width="42.85546875" style="17" customWidth="1"/>
    <col min="14856" max="14856" width="14.7109375" style="17" customWidth="1"/>
    <col min="14857" max="14857" width="7" style="17" customWidth="1"/>
    <col min="14858" max="14858" width="6.85546875" style="17" customWidth="1"/>
    <col min="14859" max="14859" width="14.7109375" style="17" customWidth="1"/>
    <col min="14860" max="14864" width="14.5703125" style="17" customWidth="1"/>
    <col min="14865" max="14865" width="0.5703125" style="17" customWidth="1"/>
    <col min="14866" max="15107" width="9.140625" style="17"/>
    <col min="15108" max="15108" width="0.85546875" style="17" customWidth="1"/>
    <col min="15109" max="15109" width="14.7109375" style="17" customWidth="1"/>
    <col min="15110" max="15110" width="16.85546875" style="17" customWidth="1"/>
    <col min="15111" max="15111" width="42.85546875" style="17" customWidth="1"/>
    <col min="15112" max="15112" width="14.7109375" style="17" customWidth="1"/>
    <col min="15113" max="15113" width="7" style="17" customWidth="1"/>
    <col min="15114" max="15114" width="6.85546875" style="17" customWidth="1"/>
    <col min="15115" max="15115" width="14.7109375" style="17" customWidth="1"/>
    <col min="15116" max="15120" width="14.5703125" style="17" customWidth="1"/>
    <col min="15121" max="15121" width="0.5703125" style="17" customWidth="1"/>
    <col min="15122" max="15363" width="9.140625" style="17"/>
    <col min="15364" max="15364" width="0.85546875" style="17" customWidth="1"/>
    <col min="15365" max="15365" width="14.7109375" style="17" customWidth="1"/>
    <col min="15366" max="15366" width="16.85546875" style="17" customWidth="1"/>
    <col min="15367" max="15367" width="42.85546875" style="17" customWidth="1"/>
    <col min="15368" max="15368" width="14.7109375" style="17" customWidth="1"/>
    <col min="15369" max="15369" width="7" style="17" customWidth="1"/>
    <col min="15370" max="15370" width="6.85546875" style="17" customWidth="1"/>
    <col min="15371" max="15371" width="14.7109375" style="17" customWidth="1"/>
    <col min="15372" max="15376" width="14.5703125" style="17" customWidth="1"/>
    <col min="15377" max="15377" width="0.5703125" style="17" customWidth="1"/>
    <col min="15378" max="15619" width="9.140625" style="17"/>
    <col min="15620" max="15620" width="0.85546875" style="17" customWidth="1"/>
    <col min="15621" max="15621" width="14.7109375" style="17" customWidth="1"/>
    <col min="15622" max="15622" width="16.85546875" style="17" customWidth="1"/>
    <col min="15623" max="15623" width="42.85546875" style="17" customWidth="1"/>
    <col min="15624" max="15624" width="14.7109375" style="17" customWidth="1"/>
    <col min="15625" max="15625" width="7" style="17" customWidth="1"/>
    <col min="15626" max="15626" width="6.85546875" style="17" customWidth="1"/>
    <col min="15627" max="15627" width="14.7109375" style="17" customWidth="1"/>
    <col min="15628" max="15632" width="14.5703125" style="17" customWidth="1"/>
    <col min="15633" max="15633" width="0.5703125" style="17" customWidth="1"/>
    <col min="15634" max="15875" width="9.140625" style="17"/>
    <col min="15876" max="15876" width="0.85546875" style="17" customWidth="1"/>
    <col min="15877" max="15877" width="14.7109375" style="17" customWidth="1"/>
    <col min="15878" max="15878" width="16.85546875" style="17" customWidth="1"/>
    <col min="15879" max="15879" width="42.85546875" style="17" customWidth="1"/>
    <col min="15880" max="15880" width="14.7109375" style="17" customWidth="1"/>
    <col min="15881" max="15881" width="7" style="17" customWidth="1"/>
    <col min="15882" max="15882" width="6.85546875" style="17" customWidth="1"/>
    <col min="15883" max="15883" width="14.7109375" style="17" customWidth="1"/>
    <col min="15884" max="15888" width="14.5703125" style="17" customWidth="1"/>
    <col min="15889" max="15889" width="0.5703125" style="17" customWidth="1"/>
    <col min="15890" max="16131" width="9.140625" style="17"/>
    <col min="16132" max="16132" width="0.85546875" style="17" customWidth="1"/>
    <col min="16133" max="16133" width="14.7109375" style="17" customWidth="1"/>
    <col min="16134" max="16134" width="16.85546875" style="17" customWidth="1"/>
    <col min="16135" max="16135" width="42.85546875" style="17" customWidth="1"/>
    <col min="16136" max="16136" width="14.7109375" style="17" customWidth="1"/>
    <col min="16137" max="16137" width="7" style="17" customWidth="1"/>
    <col min="16138" max="16138" width="6.85546875" style="17" customWidth="1"/>
    <col min="16139" max="16139" width="14.7109375" style="17" customWidth="1"/>
    <col min="16140" max="16144" width="14.5703125" style="17" customWidth="1"/>
    <col min="16145" max="16145" width="0.5703125" style="17" customWidth="1"/>
    <col min="16146" max="16384" width="9.140625" style="17"/>
  </cols>
  <sheetData>
    <row r="2" spans="1:21" ht="15.75" thickBot="1" x14ac:dyDescent="0.25">
      <c r="O2" s="19"/>
      <c r="P2" s="19"/>
      <c r="R2" s="20"/>
      <c r="S2" s="21"/>
    </row>
    <row r="3" spans="1:21" s="1" customFormat="1" ht="22.5" x14ac:dyDescent="0.2">
      <c r="C3" s="22"/>
      <c r="D3" s="22"/>
      <c r="E3" s="23"/>
      <c r="F3" s="23"/>
      <c r="G3" s="24"/>
      <c r="H3" s="24"/>
      <c r="I3" s="24"/>
      <c r="J3" s="24"/>
      <c r="K3" s="24"/>
      <c r="L3" s="24"/>
      <c r="M3" s="24"/>
      <c r="N3" s="24"/>
      <c r="O3" s="24"/>
      <c r="P3" s="24"/>
      <c r="R3" s="15"/>
      <c r="S3" s="64"/>
      <c r="U3" s="2"/>
    </row>
    <row r="4" spans="1:21" s="1" customFormat="1" ht="22.5" x14ac:dyDescent="0.2">
      <c r="C4" s="25"/>
      <c r="D4" s="25"/>
      <c r="E4" s="544" t="str">
        <f>Mapas!E4</f>
        <v>CENTRO DE REFERÊNCIA EM GEOCIÊNCIAS</v>
      </c>
      <c r="F4" s="545"/>
      <c r="G4" s="546" t="s">
        <v>32</v>
      </c>
      <c r="H4" s="547"/>
      <c r="I4" s="547"/>
      <c r="J4" s="547"/>
      <c r="K4" s="547"/>
      <c r="L4" s="547"/>
      <c r="M4" s="547"/>
      <c r="N4" s="259"/>
      <c r="O4" s="3" t="s">
        <v>47</v>
      </c>
      <c r="P4" s="13">
        <f>$S$2</f>
        <v>0</v>
      </c>
      <c r="R4" s="15"/>
      <c r="S4" s="16"/>
      <c r="U4" s="2"/>
    </row>
    <row r="5" spans="1:21" s="1" customFormat="1" ht="22.5" x14ac:dyDescent="0.2">
      <c r="C5" s="25"/>
      <c r="D5" s="25"/>
      <c r="E5" s="549" t="str">
        <f>Mapas!E5</f>
        <v>Avenida Pasteur, 404 - Urca - Rio de Janeiro / RJ</v>
      </c>
      <c r="F5" s="550"/>
      <c r="G5" s="546"/>
      <c r="H5" s="547"/>
      <c r="I5" s="547"/>
      <c r="J5" s="547"/>
      <c r="K5" s="547"/>
      <c r="L5" s="547"/>
      <c r="M5" s="547"/>
      <c r="N5" s="259"/>
      <c r="O5" s="4" t="s">
        <v>33</v>
      </c>
      <c r="P5" s="5">
        <f>S5</f>
        <v>0</v>
      </c>
      <c r="R5" s="15"/>
      <c r="S5" s="16"/>
      <c r="U5" s="2"/>
    </row>
    <row r="6" spans="1:21" s="1" customFormat="1" ht="23.25" thickBot="1" x14ac:dyDescent="0.25">
      <c r="C6" s="26"/>
      <c r="D6" s="26"/>
      <c r="E6" s="27"/>
      <c r="F6" s="28"/>
      <c r="G6" s="29"/>
      <c r="H6" s="29"/>
      <c r="I6" s="29"/>
      <c r="J6" s="29"/>
      <c r="K6" s="29"/>
      <c r="L6" s="29"/>
      <c r="M6" s="29"/>
      <c r="N6" s="29"/>
      <c r="O6" s="29"/>
      <c r="P6" s="29"/>
      <c r="U6" s="2"/>
    </row>
    <row r="7" spans="1:21" s="10" customFormat="1" ht="12" thickBot="1" x14ac:dyDescent="0.25">
      <c r="C7" s="6"/>
      <c r="D7" s="6"/>
      <c r="E7" s="6"/>
      <c r="F7" s="7"/>
      <c r="G7" s="8"/>
      <c r="H7" s="8"/>
      <c r="I7" s="9"/>
      <c r="J7" s="9"/>
      <c r="P7" s="4"/>
      <c r="U7" s="11"/>
    </row>
    <row r="8" spans="1:21" s="34" customFormat="1" ht="16.5" thickBot="1" x14ac:dyDescent="0.25">
      <c r="A8" s="84"/>
      <c r="B8" s="84"/>
      <c r="C8" s="30">
        <v>1</v>
      </c>
      <c r="D8" s="31" t="s">
        <v>1539</v>
      </c>
      <c r="E8" s="32"/>
      <c r="F8" s="32"/>
      <c r="G8" s="32"/>
      <c r="H8" s="32"/>
      <c r="I8" s="32"/>
      <c r="J8" s="32"/>
      <c r="K8" s="32"/>
      <c r="L8" s="32"/>
      <c r="M8" s="32"/>
      <c r="N8" s="32"/>
      <c r="O8" s="32"/>
      <c r="P8" s="33"/>
      <c r="Q8" s="84"/>
      <c r="U8" s="35"/>
    </row>
    <row r="9" spans="1:21" s="40" customFormat="1" ht="16.5" customHeight="1" thickBot="1" x14ac:dyDescent="0.25">
      <c r="A9" s="85"/>
      <c r="B9" s="85"/>
      <c r="C9" s="36" t="s">
        <v>20</v>
      </c>
      <c r="D9" s="37" t="s">
        <v>1686</v>
      </c>
      <c r="E9" s="38"/>
      <c r="F9" s="38"/>
      <c r="G9" s="38"/>
      <c r="H9" s="38"/>
      <c r="I9" s="38"/>
      <c r="J9" s="38"/>
      <c r="K9" s="38"/>
      <c r="L9" s="38"/>
      <c r="M9" s="38"/>
      <c r="N9" s="38"/>
      <c r="O9" s="38"/>
      <c r="P9" s="39"/>
      <c r="Q9" s="85"/>
      <c r="U9" s="41"/>
    </row>
    <row r="10" spans="1:21" s="10" customFormat="1" ht="11.25" x14ac:dyDescent="0.2">
      <c r="C10" s="6"/>
      <c r="D10" s="6"/>
      <c r="E10" s="6"/>
      <c r="F10" s="7"/>
      <c r="G10" s="8"/>
      <c r="H10" s="8"/>
      <c r="I10" s="9"/>
      <c r="J10" s="9"/>
      <c r="O10" s="4"/>
      <c r="P10" s="5"/>
      <c r="U10" s="11"/>
    </row>
    <row r="11" spans="1:21" ht="18" thickBot="1" x14ac:dyDescent="0.25">
      <c r="C11" s="66" t="s">
        <v>34</v>
      </c>
      <c r="D11" s="537" t="s">
        <v>1682</v>
      </c>
      <c r="E11" s="538"/>
      <c r="F11" s="539"/>
      <c r="G11" s="540" t="s">
        <v>35</v>
      </c>
      <c r="H11" s="541"/>
      <c r="I11" s="42" t="s">
        <v>1683</v>
      </c>
      <c r="J11" s="279"/>
      <c r="K11" s="66" t="s">
        <v>36</v>
      </c>
      <c r="L11" s="281" t="s">
        <v>1688</v>
      </c>
      <c r="M11" s="281"/>
      <c r="N11" s="260"/>
      <c r="O11" s="66" t="s">
        <v>37</v>
      </c>
      <c r="P11" s="43">
        <v>44708</v>
      </c>
    </row>
    <row r="12" spans="1:21" ht="18.75" thickTop="1" thickBot="1" x14ac:dyDescent="0.25">
      <c r="C12" s="66" t="s">
        <v>34</v>
      </c>
      <c r="D12" s="530" t="s">
        <v>1684</v>
      </c>
      <c r="E12" s="531"/>
      <c r="F12" s="532"/>
      <c r="G12" s="533" t="s">
        <v>35</v>
      </c>
      <c r="H12" s="534"/>
      <c r="I12" s="44" t="s">
        <v>1685</v>
      </c>
      <c r="J12" s="279"/>
      <c r="K12" s="66" t="s">
        <v>36</v>
      </c>
      <c r="L12" s="282" t="s">
        <v>1687</v>
      </c>
      <c r="M12" s="282"/>
      <c r="N12" s="260"/>
      <c r="O12" s="66" t="s">
        <v>37</v>
      </c>
      <c r="P12" s="45">
        <v>44693</v>
      </c>
    </row>
    <row r="13" spans="1:21" ht="18.75" thickTop="1" thickBot="1" x14ac:dyDescent="0.25">
      <c r="C13" s="66" t="s">
        <v>34</v>
      </c>
      <c r="D13" s="530" t="s">
        <v>2275</v>
      </c>
      <c r="E13" s="531"/>
      <c r="F13" s="532"/>
      <c r="G13" s="533" t="s">
        <v>35</v>
      </c>
      <c r="H13" s="534"/>
      <c r="I13" s="44" t="s">
        <v>2276</v>
      </c>
      <c r="J13" s="279"/>
      <c r="K13" s="66" t="s">
        <v>36</v>
      </c>
      <c r="L13" s="282" t="s">
        <v>2277</v>
      </c>
      <c r="M13" s="282"/>
      <c r="N13" s="260"/>
      <c r="O13" s="66" t="s">
        <v>37</v>
      </c>
      <c r="P13" s="45"/>
    </row>
    <row r="14" spans="1:21" ht="18.75" thickTop="1" thickBot="1" x14ac:dyDescent="0.25">
      <c r="C14" s="66" t="s">
        <v>34</v>
      </c>
      <c r="D14" s="530" t="s">
        <v>2278</v>
      </c>
      <c r="E14" s="531"/>
      <c r="F14" s="532"/>
      <c r="G14" s="533" t="s">
        <v>35</v>
      </c>
      <c r="H14" s="534"/>
      <c r="I14" s="44" t="s">
        <v>2279</v>
      </c>
      <c r="J14" s="279"/>
      <c r="K14" s="66" t="s">
        <v>36</v>
      </c>
      <c r="L14" s="282" t="s">
        <v>2280</v>
      </c>
      <c r="M14" s="282"/>
      <c r="N14" s="260"/>
      <c r="O14" s="66" t="s">
        <v>37</v>
      </c>
      <c r="P14" s="45"/>
    </row>
    <row r="15" spans="1:21" ht="18.75" thickTop="1" thickBot="1" x14ac:dyDescent="0.25">
      <c r="C15" s="66" t="s">
        <v>34</v>
      </c>
      <c r="D15" s="530"/>
      <c r="E15" s="531"/>
      <c r="F15" s="532"/>
      <c r="G15" s="533" t="s">
        <v>35</v>
      </c>
      <c r="H15" s="534"/>
      <c r="I15" s="44"/>
      <c r="J15" s="279"/>
      <c r="K15" s="66" t="s">
        <v>36</v>
      </c>
      <c r="L15" s="282"/>
      <c r="M15" s="282"/>
      <c r="N15" s="260"/>
      <c r="O15" s="66" t="s">
        <v>37</v>
      </c>
      <c r="P15" s="45"/>
    </row>
    <row r="16" spans="1:21" ht="16.5" thickTop="1" thickBot="1" x14ac:dyDescent="0.25"/>
    <row r="17" spans="1:24" ht="15" customHeight="1" x14ac:dyDescent="0.2">
      <c r="C17" s="509" t="s">
        <v>19</v>
      </c>
      <c r="D17" s="499" t="s">
        <v>7</v>
      </c>
      <c r="E17" s="512"/>
      <c r="F17" s="500"/>
      <c r="G17" s="519" t="s">
        <v>30</v>
      </c>
      <c r="H17" s="522" t="s">
        <v>38</v>
      </c>
      <c r="I17" s="499" t="s">
        <v>39</v>
      </c>
      <c r="J17" s="500"/>
      <c r="K17" s="499" t="s">
        <v>39</v>
      </c>
      <c r="L17" s="500"/>
      <c r="M17" s="499" t="s">
        <v>39</v>
      </c>
      <c r="N17" s="500"/>
      <c r="O17" s="499" t="s">
        <v>1476</v>
      </c>
      <c r="P17" s="563"/>
    </row>
    <row r="18" spans="1:24" x14ac:dyDescent="0.2">
      <c r="C18" s="510"/>
      <c r="D18" s="513"/>
      <c r="E18" s="514"/>
      <c r="F18" s="515"/>
      <c r="G18" s="520"/>
      <c r="H18" s="523"/>
      <c r="I18" s="501" t="str">
        <f>D11</f>
        <v>HARCO</v>
      </c>
      <c r="J18" s="502"/>
      <c r="K18" s="501" t="str">
        <f>D12</f>
        <v>LUMAR</v>
      </c>
      <c r="L18" s="502"/>
      <c r="M18" s="501" t="str">
        <f>D13</f>
        <v>RIO FLASH</v>
      </c>
      <c r="N18" s="502"/>
      <c r="O18" s="564"/>
      <c r="P18" s="565"/>
    </row>
    <row r="19" spans="1:24" ht="15" customHeight="1" x14ac:dyDescent="0.2">
      <c r="C19" s="510"/>
      <c r="D19" s="513"/>
      <c r="E19" s="514"/>
      <c r="F19" s="515"/>
      <c r="G19" s="520"/>
      <c r="H19" s="523"/>
      <c r="I19" s="528" t="s">
        <v>1474</v>
      </c>
      <c r="J19" s="528" t="s">
        <v>1475</v>
      </c>
      <c r="K19" s="528" t="s">
        <v>1474</v>
      </c>
      <c r="L19" s="528" t="s">
        <v>1475</v>
      </c>
      <c r="M19" s="528" t="s">
        <v>1474</v>
      </c>
      <c r="N19" s="528" t="s">
        <v>1475</v>
      </c>
      <c r="O19" s="528" t="s">
        <v>89</v>
      </c>
      <c r="P19" s="562" t="s">
        <v>114</v>
      </c>
    </row>
    <row r="20" spans="1:24" ht="15.75" thickBot="1" x14ac:dyDescent="0.25">
      <c r="C20" s="511"/>
      <c r="D20" s="516"/>
      <c r="E20" s="517"/>
      <c r="F20" s="518"/>
      <c r="G20" s="521"/>
      <c r="H20" s="524"/>
      <c r="I20" s="529"/>
      <c r="J20" s="529"/>
      <c r="K20" s="529"/>
      <c r="L20" s="529"/>
      <c r="M20" s="529"/>
      <c r="N20" s="529"/>
      <c r="O20" s="529"/>
      <c r="P20" s="527"/>
    </row>
    <row r="21" spans="1:24" ht="15.75" thickBot="1" x14ac:dyDescent="0.25">
      <c r="S21" s="200"/>
      <c r="T21" s="200"/>
    </row>
    <row r="22" spans="1:24" s="67" customFormat="1" x14ac:dyDescent="0.2">
      <c r="A22" s="86"/>
      <c r="B22" s="86"/>
      <c r="C22" s="68"/>
      <c r="D22" s="503"/>
      <c r="E22" s="504"/>
      <c r="F22" s="505"/>
      <c r="G22" s="69"/>
      <c r="H22" s="69"/>
      <c r="I22" s="70"/>
      <c r="J22" s="70"/>
      <c r="K22" s="70"/>
      <c r="L22" s="70"/>
      <c r="M22" s="70"/>
      <c r="N22" s="70"/>
      <c r="O22" s="70"/>
      <c r="P22" s="71"/>
      <c r="Q22" s="86"/>
      <c r="R22" s="17"/>
      <c r="S22" s="17"/>
      <c r="T22" s="17"/>
      <c r="U22" s="73"/>
    </row>
    <row r="23" spans="1:24" ht="24.95" customHeight="1" x14ac:dyDescent="0.2">
      <c r="B23" s="83" t="s">
        <v>1477</v>
      </c>
      <c r="C23" s="74">
        <v>1</v>
      </c>
      <c r="D23" s="506" t="str">
        <f>IFERROR(VLOOKUP(B23,Fontes!$A$9:$AC$6124,2,FALSE),0)</f>
        <v>Rede frigorigena com tubos de cobre de 1.1/2" sem costura, isolamento térmico, abraçadeiras, limpeza do sistema com nitrogênio, carga de gás R-410A</v>
      </c>
      <c r="E23" s="507">
        <f>IFERROR(VLOOKUP(D23,Planilha!$B$10:$AC$943,4,FALSE),0)</f>
        <v>0</v>
      </c>
      <c r="F23" s="508">
        <f>IFERROR(VLOOKUP(E23,Planilha!$B$10:$AC$943,4,FALSE),0)</f>
        <v>0</v>
      </c>
      <c r="G23" s="75" t="str">
        <f>IFERROR(VLOOKUP(B23,Fontes!$A$9:$AC$6124,3,FALSE),0)</f>
        <v>m</v>
      </c>
      <c r="H23" s="76">
        <v>1</v>
      </c>
      <c r="I23" s="77">
        <v>259</v>
      </c>
      <c r="J23" s="264">
        <v>207</v>
      </c>
      <c r="K23" s="77">
        <v>391.76784445918315</v>
      </c>
      <c r="L23" s="264">
        <v>313.1117521353317</v>
      </c>
      <c r="M23" s="77"/>
      <c r="N23" s="264"/>
      <c r="O23" s="78">
        <f>IFERROR(+AVERAGE(I23,K23,M23),0)</f>
        <v>325.38392222959158</v>
      </c>
      <c r="P23" s="78">
        <f>IFERROR(+AVERAGE(J23,L23,N23),0)</f>
        <v>260.05587606766585</v>
      </c>
      <c r="S23" s="18"/>
      <c r="T23" s="18"/>
      <c r="W23" s="53"/>
      <c r="X23" s="53"/>
    </row>
    <row r="24" spans="1:24" ht="24.95" customHeight="1" x14ac:dyDescent="0.2">
      <c r="B24" s="83" t="s">
        <v>1478</v>
      </c>
      <c r="C24" s="74">
        <v>2</v>
      </c>
      <c r="D24" s="506" t="str">
        <f>IFERROR(VLOOKUP(B24,Fontes!$A$9:$AC$6124,2,FALSE),0)</f>
        <v>Rede frigorigena com tubos de cobre de 1 1/4" sem costura, isolamento térmico, abraçadeiras, limpeza do sistema com nitrogênio, carga de gás R-410A</v>
      </c>
      <c r="E24" s="507">
        <f>IFERROR(VLOOKUP(D24,Planilha!$B$10:$AC$943,4,FALSE),0)</f>
        <v>0</v>
      </c>
      <c r="F24" s="508">
        <f>IFERROR(VLOOKUP(E24,Planilha!$B$10:$AC$943,4,FALSE),0)</f>
        <v>0</v>
      </c>
      <c r="G24" s="75" t="str">
        <f>IFERROR(VLOOKUP(B24,Fontes!$A$9:$AC$6124,3,FALSE),0)</f>
        <v>m</v>
      </c>
      <c r="H24" s="76">
        <v>1</v>
      </c>
      <c r="I24" s="77">
        <v>209</v>
      </c>
      <c r="J24" s="264">
        <v>167</v>
      </c>
      <c r="K24" s="77">
        <v>316.13698645547987</v>
      </c>
      <c r="L24" s="264">
        <v>252.60706573236905</v>
      </c>
      <c r="M24" s="77"/>
      <c r="N24" s="264"/>
      <c r="O24" s="78">
        <f t="shared" ref="O24:O30" si="0">IFERROR(+AVERAGE(I24,K24,M24),0)</f>
        <v>262.56849322773996</v>
      </c>
      <c r="P24" s="78">
        <f t="shared" ref="P24:P30" si="1">IFERROR(+AVERAGE(J24,L24,N24),0)</f>
        <v>209.80353286618453</v>
      </c>
      <c r="S24" s="18"/>
      <c r="T24" s="18"/>
      <c r="W24" s="53"/>
      <c r="X24" s="53"/>
    </row>
    <row r="25" spans="1:24" ht="24.95" customHeight="1" x14ac:dyDescent="0.2">
      <c r="B25" s="83" t="s">
        <v>1479</v>
      </c>
      <c r="C25" s="74">
        <v>3</v>
      </c>
      <c r="D25" s="506" t="str">
        <f>IFERROR(VLOOKUP(B25,Fontes!$A$9:$AC$6124,2,FALSE),0)</f>
        <v>Rede frigorigena com tubos de cobre de 1 1/8" sem costura, isolamento térmico, abraçadeiras, limpeza do sistema com nitrogênio, carga de gás R-410A</v>
      </c>
      <c r="E25" s="507">
        <f>IFERROR(VLOOKUP(D25,Planilha!$B$10:$AC$943,4,FALSE),0)</f>
        <v>0</v>
      </c>
      <c r="F25" s="508">
        <f>IFERROR(VLOOKUP(E25,Planilha!$B$10:$AC$943,4,FALSE),0)</f>
        <v>0</v>
      </c>
      <c r="G25" s="75" t="str">
        <f>IFERROR(VLOOKUP(B25,Fontes!$A$9:$AC$6124,3,FALSE),0)</f>
        <v>m</v>
      </c>
      <c r="H25" s="76">
        <v>1</v>
      </c>
      <c r="I25" s="77">
        <v>178</v>
      </c>
      <c r="J25" s="264">
        <v>142</v>
      </c>
      <c r="K25" s="77">
        <v>269.2458544931838</v>
      </c>
      <c r="L25" s="264">
        <v>214.79163673051741</v>
      </c>
      <c r="M25" s="77"/>
      <c r="N25" s="264"/>
      <c r="O25" s="78">
        <f t="shared" si="0"/>
        <v>223.6229272465919</v>
      </c>
      <c r="P25" s="78">
        <f t="shared" si="1"/>
        <v>178.39581836525872</v>
      </c>
      <c r="S25" s="18"/>
      <c r="T25" s="18"/>
      <c r="W25" s="53"/>
      <c r="X25" s="53"/>
    </row>
    <row r="26" spans="1:24" ht="24.95" customHeight="1" x14ac:dyDescent="0.2">
      <c r="B26" s="83" t="s">
        <v>1480</v>
      </c>
      <c r="C26" s="74">
        <v>4</v>
      </c>
      <c r="D26" s="506" t="str">
        <f>IFERROR(VLOOKUP(B26,Fontes!$A$9:$AC$6124,2,FALSE),0)</f>
        <v>Rede frigorigena com tubos de cobre de 1" sem costura, isolamento térmico, abraçadeiras, limpeza do sistema com nitrogênio, carga de gás R-410A</v>
      </c>
      <c r="E26" s="507">
        <f>IFERROR(VLOOKUP(D26,Planilha!$B$10:$AC$943,4,FALSE),0)</f>
        <v>0</v>
      </c>
      <c r="F26" s="508">
        <f>IFERROR(VLOOKUP(E26,Planilha!$B$10:$AC$943,4,FALSE),0)</f>
        <v>0</v>
      </c>
      <c r="G26" s="75" t="str">
        <f>IFERROR(VLOOKUP(B26,Fontes!$A$9:$AC$6124,3,FALSE),0)</f>
        <v>m</v>
      </c>
      <c r="H26" s="76">
        <v>1</v>
      </c>
      <c r="I26" s="77">
        <v>90</v>
      </c>
      <c r="J26" s="264">
        <v>72</v>
      </c>
      <c r="K26" s="77">
        <v>136.13554440666596</v>
      </c>
      <c r="L26" s="264">
        <v>108.90843552533275</v>
      </c>
      <c r="M26" s="77"/>
      <c r="N26" s="264"/>
      <c r="O26" s="78">
        <f t="shared" si="0"/>
        <v>113.06777220333298</v>
      </c>
      <c r="P26" s="78">
        <f t="shared" si="1"/>
        <v>90.454217762666374</v>
      </c>
      <c r="S26" s="18"/>
      <c r="T26" s="18"/>
      <c r="W26" s="53"/>
      <c r="X26" s="53"/>
    </row>
    <row r="27" spans="1:24" ht="24.95" customHeight="1" x14ac:dyDescent="0.2">
      <c r="B27" s="83" t="s">
        <v>1481</v>
      </c>
      <c r="C27" s="74">
        <v>5</v>
      </c>
      <c r="D27" s="506" t="str">
        <f>IFERROR(VLOOKUP(B27,Fontes!$A$9:$AC$6124,2,FALSE),0)</f>
        <v>Rede frigorigena com tubos de cobre de 7/8" sem costura, isolamento térmico, abraçadeiras, limpeza do sistema com nitrogênio, carga de gás R-410A</v>
      </c>
      <c r="E27" s="507">
        <f>IFERROR(VLOOKUP(D27,Planilha!$B$10:$AC$943,4,FALSE),0)</f>
        <v>0</v>
      </c>
      <c r="F27" s="508">
        <f>IFERROR(VLOOKUP(E27,Planilha!$B$10:$AC$943,4,FALSE),0)</f>
        <v>0</v>
      </c>
      <c r="G27" s="75" t="str">
        <f>IFERROR(VLOOKUP(B27,Fontes!$A$9:$AC$6124,3,FALSE),0)</f>
        <v>m</v>
      </c>
      <c r="H27" s="76">
        <v>1</v>
      </c>
      <c r="I27" s="77">
        <v>77</v>
      </c>
      <c r="J27" s="264">
        <v>61</v>
      </c>
      <c r="K27" s="77">
        <v>116.47152132570311</v>
      </c>
      <c r="L27" s="264">
        <v>92.269646764518029</v>
      </c>
      <c r="M27" s="77"/>
      <c r="N27" s="264"/>
      <c r="O27" s="78">
        <f t="shared" si="0"/>
        <v>96.735760662851561</v>
      </c>
      <c r="P27" s="78">
        <f t="shared" si="1"/>
        <v>76.634823382259015</v>
      </c>
      <c r="S27" s="18"/>
      <c r="T27" s="18"/>
      <c r="W27" s="53"/>
      <c r="X27" s="53"/>
    </row>
    <row r="28" spans="1:24" ht="24.95" customHeight="1" x14ac:dyDescent="0.2">
      <c r="B28" s="83" t="s">
        <v>1482</v>
      </c>
      <c r="C28" s="74">
        <v>6</v>
      </c>
      <c r="D28" s="506" t="str">
        <f>IFERROR(VLOOKUP(B28,Fontes!$A$9:$AC$6124,2,FALSE),0)</f>
        <v>Rede frigorigena com tubos de cobre de 3/4" sem costura, isolamento térmico, abraçadeiras, limpeza do sistema com nitrogênio, carga de gás R-410A</v>
      </c>
      <c r="E28" s="507">
        <f>IFERROR(VLOOKUP(D28,Planilha!$B$10:$AC$943,4,FALSE),0)</f>
        <v>0</v>
      </c>
      <c r="F28" s="508">
        <f>IFERROR(VLOOKUP(E28,Planilha!$B$10:$AC$943,4,FALSE),0)</f>
        <v>0</v>
      </c>
      <c r="G28" s="75" t="str">
        <f>IFERROR(VLOOKUP(B28,Fontes!$A$9:$AC$6124,3,FALSE),0)</f>
        <v>m</v>
      </c>
      <c r="H28" s="75">
        <v>1</v>
      </c>
      <c r="I28" s="77">
        <v>66</v>
      </c>
      <c r="J28" s="264">
        <v>53</v>
      </c>
      <c r="K28" s="77">
        <v>99.83273256488836</v>
      </c>
      <c r="L28" s="264">
        <v>80.168709483925497</v>
      </c>
      <c r="M28" s="77"/>
      <c r="N28" s="264"/>
      <c r="O28" s="78">
        <f t="shared" si="0"/>
        <v>82.916366282444187</v>
      </c>
      <c r="P28" s="78">
        <f t="shared" si="1"/>
        <v>66.584354741962755</v>
      </c>
      <c r="S28" s="18"/>
      <c r="T28" s="18"/>
      <c r="W28" s="53"/>
      <c r="X28" s="53"/>
    </row>
    <row r="29" spans="1:24" ht="24.95" customHeight="1" x14ac:dyDescent="0.2">
      <c r="B29" s="83" t="s">
        <v>1483</v>
      </c>
      <c r="C29" s="74">
        <v>7</v>
      </c>
      <c r="D29" s="506" t="str">
        <f>IFERROR(VLOOKUP(B29,Fontes!$A$9:$AC$6124,2,FALSE),0)</f>
        <v>Rede frigorigena com tubos de cobre de 5/8" sem costura, isolamento térmico, abraçadeiras, limpeza do sistema com nitrogênio, carga de gás R-410A</v>
      </c>
      <c r="E29" s="507">
        <f>IFERROR(VLOOKUP(D29,Planilha!$B$10:$AC$943,4,FALSE),0)</f>
        <v>0</v>
      </c>
      <c r="F29" s="508">
        <f>IFERROR(VLOOKUP(E29,Planilha!$B$10:$AC$943,4,FALSE),0)</f>
        <v>0</v>
      </c>
      <c r="G29" s="75" t="str">
        <f>IFERROR(VLOOKUP(B29,Fontes!$A$9:$AC$6124,3,FALSE),0)</f>
        <v>m</v>
      </c>
      <c r="H29" s="75">
        <v>1</v>
      </c>
      <c r="I29" s="77">
        <v>55</v>
      </c>
      <c r="J29" s="264">
        <v>44</v>
      </c>
      <c r="K29" s="77">
        <v>83.193943804073641</v>
      </c>
      <c r="L29" s="264">
        <v>66.555155043258907</v>
      </c>
      <c r="M29" s="77"/>
      <c r="N29" s="264"/>
      <c r="O29" s="78">
        <f t="shared" si="0"/>
        <v>69.096971902036813</v>
      </c>
      <c r="P29" s="78">
        <f t="shared" si="1"/>
        <v>55.277577521629453</v>
      </c>
      <c r="S29" s="18"/>
      <c r="T29" s="18"/>
      <c r="W29" s="53"/>
      <c r="X29" s="53"/>
    </row>
    <row r="30" spans="1:24" ht="24.95" customHeight="1" x14ac:dyDescent="0.2">
      <c r="B30" s="83" t="s">
        <v>1484</v>
      </c>
      <c r="C30" s="74">
        <v>8</v>
      </c>
      <c r="D30" s="506" t="str">
        <f>IFERROR(VLOOKUP(B30,Fontes!$A$9:$AC$6124,2,FALSE),0)</f>
        <v>Rede frigorigena com tubos de cobre de 1/2", isolamento térmico, abraçadeiras, limpeza do sistema com nitrogênio, carga de gás R-410A</v>
      </c>
      <c r="E30" s="507">
        <f>IFERROR(VLOOKUP(D30,Planilha!$B$10:$AC$943,4,FALSE),0)</f>
        <v>0</v>
      </c>
      <c r="F30" s="508">
        <f>IFERROR(VLOOKUP(E30,Planilha!$B$10:$AC$943,4,FALSE),0)</f>
        <v>0</v>
      </c>
      <c r="G30" s="75" t="str">
        <f>IFERROR(VLOOKUP(B30,Fontes!$A$9:$AC$6124,3,FALSE),0)</f>
        <v>m</v>
      </c>
      <c r="H30" s="75">
        <v>1</v>
      </c>
      <c r="I30" s="77">
        <v>44</v>
      </c>
      <c r="J30" s="264">
        <v>35</v>
      </c>
      <c r="K30" s="77">
        <v>66.555155043258907</v>
      </c>
      <c r="L30" s="264">
        <v>52.941600602592317</v>
      </c>
      <c r="M30" s="77"/>
      <c r="N30" s="264"/>
      <c r="O30" s="78">
        <f t="shared" si="0"/>
        <v>55.277577521629453</v>
      </c>
      <c r="P30" s="78">
        <f t="shared" si="1"/>
        <v>43.970800301296158</v>
      </c>
      <c r="S30" s="18"/>
      <c r="T30" s="18"/>
      <c r="W30" s="53"/>
      <c r="X30" s="53"/>
    </row>
    <row r="31" spans="1:24" ht="24.95" customHeight="1" x14ac:dyDescent="0.2">
      <c r="B31" s="83" t="s">
        <v>1485</v>
      </c>
      <c r="C31" s="74">
        <v>9</v>
      </c>
      <c r="D31" s="506" t="str">
        <f>IFERROR(VLOOKUP(B31,Fontes!$A$9:$AC$6124,2,FALSE),0)</f>
        <v>Rede frigorigena com tubos de cobre de 3/8" sem costura, isolamento térmico, abraçadeiras, limpeza do sistema com nitrogênio, carga de gás R-410A</v>
      </c>
      <c r="E31" s="507">
        <f>IFERROR(VLOOKUP(D31,Planilha!$B$10:$AC$943,4,FALSE),0)</f>
        <v>0</v>
      </c>
      <c r="F31" s="508">
        <f>IFERROR(VLOOKUP(E31,Planilha!$B$10:$AC$943,4,FALSE),0)</f>
        <v>0</v>
      </c>
      <c r="G31" s="75" t="str">
        <f>IFERROR(VLOOKUP(B31,Fontes!$A$9:$AC$6124,3,FALSE),0)</f>
        <v>m</v>
      </c>
      <c r="H31" s="75">
        <v>1</v>
      </c>
      <c r="I31" s="77">
        <v>32</v>
      </c>
      <c r="J31" s="264">
        <v>25</v>
      </c>
      <c r="K31" s="77">
        <v>48.403749122370115</v>
      </c>
      <c r="L31" s="264">
        <v>37.815429001851648</v>
      </c>
      <c r="M31" s="77"/>
      <c r="N31" s="264"/>
      <c r="O31" s="78">
        <f t="shared" ref="O31:O95" si="2">IFERROR(+AVERAGE(I31,K31,M31),0)</f>
        <v>40.201874561185058</v>
      </c>
      <c r="P31" s="78">
        <f t="shared" ref="P31:P95" si="3">IFERROR(+AVERAGE(J31,L31,N31),0)</f>
        <v>31.407714500925824</v>
      </c>
      <c r="S31" s="18"/>
      <c r="T31" s="18"/>
      <c r="W31" s="53"/>
      <c r="X31" s="53"/>
    </row>
    <row r="32" spans="1:24" ht="24.95" customHeight="1" x14ac:dyDescent="0.2">
      <c r="B32" s="83" t="s">
        <v>1486</v>
      </c>
      <c r="C32" s="74">
        <v>10</v>
      </c>
      <c r="D32" s="506" t="str">
        <f>IFERROR(VLOOKUP(B32,Fontes!$A$9:$AC$6124,2,FALSE),0)</f>
        <v>Rede frigorigena com tubos de cobre de 1/4" sem costura, isolamento térmico, abraçadeiras, limpeza do sistema com nitrogênio, carga de gás R-410A</v>
      </c>
      <c r="E32" s="507">
        <f>IFERROR(VLOOKUP(D32,Planilha!$B$10:$AC$943,4,FALSE),0)</f>
        <v>0</v>
      </c>
      <c r="F32" s="508">
        <f>IFERROR(VLOOKUP(E32,Planilha!$B$10:$AC$943,4,FALSE),0)</f>
        <v>0</v>
      </c>
      <c r="G32" s="75" t="str">
        <f>IFERROR(VLOOKUP(B32,Fontes!$A$9:$AC$6124,3,FALSE),0)</f>
        <v>m</v>
      </c>
      <c r="H32" s="75">
        <v>1</v>
      </c>
      <c r="I32" s="77">
        <v>22</v>
      </c>
      <c r="J32" s="264">
        <v>18</v>
      </c>
      <c r="K32" s="77">
        <v>33.27757752162946</v>
      </c>
      <c r="L32" s="264">
        <v>27.227108881333187</v>
      </c>
      <c r="M32" s="77"/>
      <c r="N32" s="264"/>
      <c r="O32" s="78">
        <f t="shared" si="2"/>
        <v>27.63878876081473</v>
      </c>
      <c r="P32" s="78">
        <f t="shared" si="3"/>
        <v>22.613554440666594</v>
      </c>
      <c r="S32" s="18"/>
      <c r="T32" s="18"/>
      <c r="W32" s="53"/>
      <c r="X32" s="53"/>
    </row>
    <row r="33" spans="2:24" ht="24.95" customHeight="1" x14ac:dyDescent="0.2">
      <c r="B33" s="83" t="s">
        <v>1487</v>
      </c>
      <c r="C33" s="74">
        <v>11</v>
      </c>
      <c r="D33" s="506" t="str">
        <f>IFERROR(VLOOKUP(B33,Fontes!$A$9:$AC$6124,2,FALSE),0)</f>
        <v>Grelha de insuflamento ref.: VAT-DG 225 x 125 mm pintado na cor branco neve - Trox ou equivalente</v>
      </c>
      <c r="E33" s="507">
        <f>IFERROR(VLOOKUP(D33,Planilha!$B$10:$AC$943,4,FALSE),0)</f>
        <v>0</v>
      </c>
      <c r="F33" s="508">
        <f>IFERROR(VLOOKUP(E33,Planilha!$B$10:$AC$943,4,FALSE),0)</f>
        <v>0</v>
      </c>
      <c r="G33" s="75" t="str">
        <f>IFERROR(VLOOKUP(B33,Fontes!$A$9:$AC$6124,3,FALSE),0)</f>
        <v>un</v>
      </c>
      <c r="H33" s="75">
        <v>1</v>
      </c>
      <c r="I33" s="77">
        <v>113</v>
      </c>
      <c r="J33" s="264">
        <v>90</v>
      </c>
      <c r="K33" s="77">
        <v>170.92573908836948</v>
      </c>
      <c r="L33" s="264">
        <v>136.13554440666593</v>
      </c>
      <c r="M33" s="77"/>
      <c r="N33" s="264"/>
      <c r="O33" s="78">
        <f t="shared" si="2"/>
        <v>141.96286954418474</v>
      </c>
      <c r="P33" s="78">
        <f t="shared" si="3"/>
        <v>113.06777220333296</v>
      </c>
      <c r="S33" s="18"/>
      <c r="T33" s="18"/>
      <c r="W33" s="53"/>
      <c r="X33" s="53"/>
    </row>
    <row r="34" spans="2:24" ht="24.95" customHeight="1" x14ac:dyDescent="0.2">
      <c r="B34" s="83" t="s">
        <v>1488</v>
      </c>
      <c r="C34" s="74">
        <v>12</v>
      </c>
      <c r="D34" s="506" t="str">
        <f>IFERROR(VLOOKUP(B34,Fontes!$A$9:$AC$6124,2,FALSE),0)</f>
        <v>Grelha de insuflamento ref.: VAT-DG 425 x 165 mm pintado na cor branco neve - Trox ou equivalente</v>
      </c>
      <c r="E34" s="507">
        <f>IFERROR(VLOOKUP(D34,Planilha!$B$10:$AC$943,4,FALSE),0)</f>
        <v>0</v>
      </c>
      <c r="F34" s="508">
        <f>IFERROR(VLOOKUP(E34,Planilha!$B$10:$AC$943,4,FALSE),0)</f>
        <v>0</v>
      </c>
      <c r="G34" s="75" t="str">
        <f>IFERROR(VLOOKUP(B34,Fontes!$A$9:$AC$6124,3,FALSE),0)</f>
        <v>un</v>
      </c>
      <c r="H34" s="75">
        <v>1</v>
      </c>
      <c r="I34" s="77">
        <v>187</v>
      </c>
      <c r="J34" s="264">
        <v>150</v>
      </c>
      <c r="K34" s="77">
        <v>282.85940893385037</v>
      </c>
      <c r="L34" s="264">
        <v>226.8925740111099</v>
      </c>
      <c r="M34" s="77"/>
      <c r="N34" s="264"/>
      <c r="O34" s="78">
        <f t="shared" si="2"/>
        <v>234.92970446692519</v>
      </c>
      <c r="P34" s="78">
        <f t="shared" si="3"/>
        <v>188.44628700555495</v>
      </c>
      <c r="S34" s="18"/>
      <c r="T34" s="18"/>
      <c r="W34" s="53"/>
      <c r="X34" s="53"/>
    </row>
    <row r="35" spans="2:24" ht="24.95" customHeight="1" x14ac:dyDescent="0.2">
      <c r="B35" s="83" t="s">
        <v>1489</v>
      </c>
      <c r="C35" s="74">
        <v>13</v>
      </c>
      <c r="D35" s="506" t="str">
        <f>IFERROR(VLOOKUP(B35,Fontes!$A$9:$AC$6124,2,FALSE),0)</f>
        <v>Grelha de exaustão/retorno ref.: AR-AG 625 x 325 mm pintado na cor branco neve - Trox ou equivalente</v>
      </c>
      <c r="E35" s="507">
        <f>IFERROR(VLOOKUP(D35,Planilha!$B$10:$AC$943,4,FALSE),0)</f>
        <v>0</v>
      </c>
      <c r="F35" s="508">
        <f>IFERROR(VLOOKUP(E35,Planilha!$B$10:$AC$943,4,FALSE),0)</f>
        <v>0</v>
      </c>
      <c r="G35" s="75" t="str">
        <f>IFERROR(VLOOKUP(B35,Fontes!$A$9:$AC$6124,3,FALSE),0)</f>
        <v>un</v>
      </c>
      <c r="H35" s="75">
        <v>1</v>
      </c>
      <c r="I35" s="77">
        <v>295</v>
      </c>
      <c r="J35" s="264">
        <v>236</v>
      </c>
      <c r="K35" s="77">
        <v>446.22206222184951</v>
      </c>
      <c r="L35" s="264">
        <v>356.97764977747954</v>
      </c>
      <c r="M35" s="77"/>
      <c r="N35" s="264"/>
      <c r="O35" s="78">
        <f t="shared" si="2"/>
        <v>370.61103111092473</v>
      </c>
      <c r="P35" s="78">
        <f t="shared" si="3"/>
        <v>296.48882488873977</v>
      </c>
      <c r="S35" s="18"/>
      <c r="T35" s="18"/>
      <c r="W35" s="53"/>
      <c r="X35" s="53"/>
    </row>
    <row r="36" spans="2:24" ht="24.95" customHeight="1" x14ac:dyDescent="0.2">
      <c r="B36" s="83" t="s">
        <v>2181</v>
      </c>
      <c r="C36" s="74">
        <v>14</v>
      </c>
      <c r="D36" s="506" t="str">
        <f>IFERROR(VLOOKUP(B36,Fontes!$A$9:$AC$6124,2,FALSE),0)</f>
        <v>Grelha de exaustão/retorno ref.: ar-ag 625 x 425 mm pintado na cor branco neve - trox ou equivalente</v>
      </c>
      <c r="E36" s="507">
        <f>IFERROR(VLOOKUP(D36,Planilha!$B$10:$AC$943,4,FALSE),0)</f>
        <v>0</v>
      </c>
      <c r="F36" s="508">
        <f>IFERROR(VLOOKUP(E36,Planilha!$B$10:$AC$943,4,FALSE),0)</f>
        <v>0</v>
      </c>
      <c r="G36" s="75" t="str">
        <f>IFERROR(VLOOKUP(B36,Fontes!$A$9:$AC$6124,3,FALSE),0)</f>
        <v>un</v>
      </c>
      <c r="H36" s="75">
        <v>1</v>
      </c>
      <c r="I36" s="77">
        <v>367</v>
      </c>
      <c r="J36" s="264">
        <v>278</v>
      </c>
      <c r="K36" s="264">
        <f>(I36/I35)*K35</f>
        <v>555.13049774718229</v>
      </c>
      <c r="L36" s="264">
        <f>(J36/J35)*L35</f>
        <v>420.5075705005903</v>
      </c>
      <c r="M36" s="264"/>
      <c r="N36" s="264"/>
      <c r="O36" s="78">
        <f t="shared" ref="O36" si="4">IFERROR(+AVERAGE(I36,K36,M36),0)</f>
        <v>461.06524887359114</v>
      </c>
      <c r="P36" s="78">
        <f t="shared" ref="P36" si="5">IFERROR(+AVERAGE(J36,L36,N36),0)</f>
        <v>349.25378525029515</v>
      </c>
      <c r="S36" s="18"/>
      <c r="T36" s="18"/>
      <c r="W36" s="53"/>
      <c r="X36" s="53"/>
    </row>
    <row r="37" spans="2:24" ht="24.95" customHeight="1" x14ac:dyDescent="0.2">
      <c r="B37" s="83" t="s">
        <v>1490</v>
      </c>
      <c r="C37" s="74">
        <v>15</v>
      </c>
      <c r="D37" s="506" t="str">
        <f>IFERROR(VLOOKUP(B37,Fontes!$A$9:$AC$6124,2,FALSE),0)</f>
        <v>Grelha de exaustão/retorno  ref.: AR-AG 1025 x 425 mm pintado na cor branco neve - Trox ou equivalente</v>
      </c>
      <c r="E37" s="507">
        <f>IFERROR(VLOOKUP(D37,Planilha!$B$10:$AC$943,4,FALSE),0)</f>
        <v>0</v>
      </c>
      <c r="F37" s="508">
        <f>IFERROR(VLOOKUP(E37,Planilha!$B$10:$AC$943,4,FALSE),0)</f>
        <v>0</v>
      </c>
      <c r="G37" s="75" t="str">
        <f>IFERROR(VLOOKUP(B37,Fontes!$A$9:$AC$6124,3,FALSE),0)</f>
        <v>un</v>
      </c>
      <c r="H37" s="75">
        <v>1</v>
      </c>
      <c r="I37" s="77">
        <v>539</v>
      </c>
      <c r="J37" s="264">
        <v>431</v>
      </c>
      <c r="K37" s="77">
        <v>815.30064927992169</v>
      </c>
      <c r="L37" s="264">
        <v>651.93799599192243</v>
      </c>
      <c r="M37" s="77"/>
      <c r="N37" s="264"/>
      <c r="O37" s="78">
        <f t="shared" si="2"/>
        <v>677.1503246399609</v>
      </c>
      <c r="P37" s="78">
        <f t="shared" si="3"/>
        <v>541.46899799596122</v>
      </c>
      <c r="S37" s="18"/>
      <c r="T37" s="18"/>
      <c r="W37" s="53"/>
      <c r="X37" s="53"/>
    </row>
    <row r="38" spans="2:24" ht="24.95" customHeight="1" x14ac:dyDescent="0.2">
      <c r="B38" s="83" t="s">
        <v>1491</v>
      </c>
      <c r="C38" s="74">
        <v>16</v>
      </c>
      <c r="D38" s="506" t="str">
        <f>IFERROR(VLOOKUP(B38,Fontes!$A$9:$AC$6124,2,FALSE),0)</f>
        <v>Grelha de exaustão/retorno ref.: AR-AG 1025 x 525 mm pintado na cor branco neve - Trox ou equivalente ou equivalente</v>
      </c>
      <c r="E38" s="507">
        <f>IFERROR(VLOOKUP(D38,Planilha!$B$10:$AC$943,4,FALSE),0)</f>
        <v>0</v>
      </c>
      <c r="F38" s="508">
        <f>IFERROR(VLOOKUP(E38,Planilha!$B$10:$AC$943,4,FALSE),0)</f>
        <v>0</v>
      </c>
      <c r="G38" s="75" t="str">
        <f>IFERROR(VLOOKUP(B38,Fontes!$A$9:$AC$6124,3,FALSE),0)</f>
        <v>un</v>
      </c>
      <c r="H38" s="75">
        <v>1</v>
      </c>
      <c r="I38" s="77">
        <v>622</v>
      </c>
      <c r="J38" s="264">
        <v>498</v>
      </c>
      <c r="K38" s="77">
        <v>940.84787356606921</v>
      </c>
      <c r="L38" s="264">
        <v>753.28334571688481</v>
      </c>
      <c r="M38" s="77"/>
      <c r="N38" s="264"/>
      <c r="O38" s="78">
        <f t="shared" si="2"/>
        <v>781.42393678303461</v>
      </c>
      <c r="P38" s="78">
        <f t="shared" si="3"/>
        <v>625.64167285844246</v>
      </c>
      <c r="S38" s="18"/>
      <c r="T38" s="18"/>
      <c r="W38" s="53"/>
      <c r="X38" s="53"/>
    </row>
    <row r="39" spans="2:24" ht="24.95" customHeight="1" x14ac:dyDescent="0.2">
      <c r="B39" s="83" t="s">
        <v>1492</v>
      </c>
      <c r="C39" s="74">
        <v>17</v>
      </c>
      <c r="D39" s="506" t="str">
        <f>IFERROR(VLOOKUP(B39,Fontes!$A$9:$AC$6124,2,FALSE),0)</f>
        <v>Grelha de exaustão/retorno ref.: AR-AG 225 x 125 mm pintado na cor branco neve - Trox ou equivalente ou equivalente</v>
      </c>
      <c r="E39" s="507">
        <f>IFERROR(VLOOKUP(D39,Planilha!$B$10:$AC$943,4,FALSE),0)</f>
        <v>0</v>
      </c>
      <c r="F39" s="508">
        <f>IFERROR(VLOOKUP(E39,Planilha!$B$10:$AC$943,4,FALSE),0)</f>
        <v>0</v>
      </c>
      <c r="G39" s="75" t="str">
        <f>IFERROR(VLOOKUP(B39,Fontes!$A$9:$AC$6124,3,FALSE),0)</f>
        <v>un</v>
      </c>
      <c r="H39" s="75">
        <v>1</v>
      </c>
      <c r="I39" s="77">
        <v>94</v>
      </c>
      <c r="J39" s="264">
        <v>75</v>
      </c>
      <c r="K39" s="77">
        <v>142.18601304696222</v>
      </c>
      <c r="L39" s="264">
        <v>113.44628700555495</v>
      </c>
      <c r="M39" s="77"/>
      <c r="N39" s="264"/>
      <c r="O39" s="78">
        <f t="shared" si="2"/>
        <v>118.09300652348111</v>
      </c>
      <c r="P39" s="78">
        <f t="shared" si="3"/>
        <v>94.223143502777475</v>
      </c>
      <c r="S39" s="18"/>
      <c r="T39" s="18"/>
      <c r="W39" s="53"/>
      <c r="X39" s="53"/>
    </row>
    <row r="40" spans="2:24" ht="24.95" customHeight="1" x14ac:dyDescent="0.2">
      <c r="B40" s="83" t="s">
        <v>1493</v>
      </c>
      <c r="C40" s="74">
        <v>18</v>
      </c>
      <c r="D40" s="506" t="str">
        <f>IFERROR(VLOOKUP(B40,Fontes!$A$9:$AC$6124,2,FALSE),0)</f>
        <v>Grelha de exaustão/retorno ref.: AR-AG 325 x 225 mm pintado na cor branco neve - Trox ou equivalente ou equivalente</v>
      </c>
      <c r="E40" s="507">
        <f>IFERROR(VLOOKUP(D40,Planilha!$B$10:$AC$943,4,FALSE),0)</f>
        <v>0</v>
      </c>
      <c r="F40" s="508">
        <f>IFERROR(VLOOKUP(E40,Planilha!$B$10:$AC$943,4,FALSE),0)</f>
        <v>0</v>
      </c>
      <c r="G40" s="75" t="str">
        <f>IFERROR(VLOOKUP(B40,Fontes!$A$9:$AC$6124,3,FALSE),0)</f>
        <v>un</v>
      </c>
      <c r="H40" s="75">
        <v>1</v>
      </c>
      <c r="I40" s="77">
        <v>151</v>
      </c>
      <c r="J40" s="264">
        <v>121</v>
      </c>
      <c r="K40" s="77">
        <v>228.40519117118399</v>
      </c>
      <c r="L40" s="264">
        <v>183.02667636896197</v>
      </c>
      <c r="M40" s="77"/>
      <c r="N40" s="264"/>
      <c r="O40" s="78">
        <f t="shared" si="2"/>
        <v>189.70259558559201</v>
      </c>
      <c r="P40" s="78">
        <f t="shared" si="3"/>
        <v>152.01333818448097</v>
      </c>
      <c r="S40" s="18"/>
      <c r="T40" s="18"/>
      <c r="W40" s="53"/>
      <c r="X40" s="53"/>
    </row>
    <row r="41" spans="2:24" ht="24.95" customHeight="1" x14ac:dyDescent="0.2">
      <c r="B41" s="83" t="s">
        <v>1494</v>
      </c>
      <c r="C41" s="74">
        <v>19</v>
      </c>
      <c r="D41" s="506" t="str">
        <f>IFERROR(VLOOKUP(B41,Fontes!$A$9:$AC$6124,2,FALSE),0)</f>
        <v>Grelha de porta com aletas indevassáveis e dupla moldura fabricante de referência "Trox ou equivalente" - modelo de  referência: AGS- dimensões 325 x 165 mm</v>
      </c>
      <c r="E41" s="507">
        <f>IFERROR(VLOOKUP(D41,Planilha!$B$10:$AC$943,4,FALSE),0)</f>
        <v>0</v>
      </c>
      <c r="F41" s="508">
        <f>IFERROR(VLOOKUP(E41,Planilha!$B$10:$AC$943,4,FALSE),0)</f>
        <v>0</v>
      </c>
      <c r="G41" s="75" t="str">
        <f>IFERROR(VLOOKUP(B41,Fontes!$A$9:$AC$6124,3,FALSE),0)</f>
        <v>un</v>
      </c>
      <c r="H41" s="75">
        <v>1</v>
      </c>
      <c r="I41" s="77">
        <v>154</v>
      </c>
      <c r="J41" s="264">
        <v>123</v>
      </c>
      <c r="K41" s="77">
        <v>232.94304265140616</v>
      </c>
      <c r="L41" s="264">
        <v>186.05191068911014</v>
      </c>
      <c r="M41" s="77"/>
      <c r="N41" s="264"/>
      <c r="O41" s="78">
        <f t="shared" si="2"/>
        <v>193.47152132570307</v>
      </c>
      <c r="P41" s="78">
        <f t="shared" si="3"/>
        <v>154.52595534455509</v>
      </c>
      <c r="S41" s="18"/>
      <c r="T41" s="18"/>
      <c r="W41" s="53"/>
      <c r="X41" s="53"/>
    </row>
    <row r="42" spans="2:24" ht="24.95" customHeight="1" x14ac:dyDescent="0.2">
      <c r="B42" s="83" t="s">
        <v>1495</v>
      </c>
      <c r="C42" s="74">
        <v>20</v>
      </c>
      <c r="D42" s="506" t="str">
        <f>IFERROR(VLOOKUP(B42,Fontes!$A$9:$AC$6124,2,FALSE),0)</f>
        <v>Grelha de porta com aletas indevassáveis e dupla moldura fabricante de referência "Trox ou equivalente" - modelo de  referência: AGS- dimensões 325 x 225 mm</v>
      </c>
      <c r="E42" s="507">
        <f>IFERROR(VLOOKUP(D42,Planilha!$B$10:$AC$943,4,FALSE),0)</f>
        <v>0</v>
      </c>
      <c r="F42" s="508">
        <f>IFERROR(VLOOKUP(E42,Planilha!$B$10:$AC$943,4,FALSE),0)</f>
        <v>0</v>
      </c>
      <c r="G42" s="75" t="str">
        <f>IFERROR(VLOOKUP(B42,Fontes!$A$9:$AC$6124,3,FALSE),0)</f>
        <v>un</v>
      </c>
      <c r="H42" s="75">
        <v>1</v>
      </c>
      <c r="I42" s="77">
        <v>204</v>
      </c>
      <c r="J42" s="264">
        <v>164</v>
      </c>
      <c r="K42" s="77">
        <v>308.57390065510953</v>
      </c>
      <c r="L42" s="264">
        <v>248.06921425214679</v>
      </c>
      <c r="M42" s="77"/>
      <c r="N42" s="264"/>
      <c r="O42" s="78">
        <f t="shared" si="2"/>
        <v>256.28695032755479</v>
      </c>
      <c r="P42" s="78">
        <f t="shared" si="3"/>
        <v>206.03460712607341</v>
      </c>
      <c r="S42" s="18"/>
      <c r="T42" s="18"/>
      <c r="W42" s="53"/>
      <c r="X42" s="53"/>
    </row>
    <row r="43" spans="2:24" ht="20.100000000000001" customHeight="1" x14ac:dyDescent="0.2">
      <c r="B43" s="83" t="s">
        <v>1496</v>
      </c>
      <c r="C43" s="74">
        <v>21</v>
      </c>
      <c r="D43" s="506" t="str">
        <f>IFERROR(VLOOKUP(B43,Fontes!$A$9:$AC$6124,2,FALSE),0)</f>
        <v>Damper de regulagem de ar ref.: JN-B 200 x 150 mm fabr. Trox ou equivalente</v>
      </c>
      <c r="E43" s="507">
        <f>IFERROR(VLOOKUP(D43,Planilha!$B$10:$AC$943,4,FALSE),0)</f>
        <v>0</v>
      </c>
      <c r="F43" s="508">
        <f>IFERROR(VLOOKUP(E43,Planilha!$B$10:$AC$943,4,FALSE),0)</f>
        <v>0</v>
      </c>
      <c r="G43" s="75" t="str">
        <f>IFERROR(VLOOKUP(B43,Fontes!$A$9:$AC$6124,3,FALSE),0)</f>
        <v>un</v>
      </c>
      <c r="H43" s="75">
        <v>1</v>
      </c>
      <c r="I43" s="77">
        <v>122</v>
      </c>
      <c r="J43" s="264">
        <v>98</v>
      </c>
      <c r="K43" s="77">
        <v>184.53929352903609</v>
      </c>
      <c r="L43" s="264">
        <v>148.23648168725848</v>
      </c>
      <c r="M43" s="77"/>
      <c r="N43" s="264"/>
      <c r="O43" s="78">
        <f t="shared" si="2"/>
        <v>153.26964676451803</v>
      </c>
      <c r="P43" s="78">
        <f t="shared" si="3"/>
        <v>123.11824084362924</v>
      </c>
      <c r="S43" s="18"/>
      <c r="T43" s="18"/>
      <c r="W43" s="53"/>
      <c r="X43" s="53"/>
    </row>
    <row r="44" spans="2:24" ht="20.100000000000001" customHeight="1" x14ac:dyDescent="0.2">
      <c r="B44" s="83" t="s">
        <v>1497</v>
      </c>
      <c r="C44" s="74">
        <v>22</v>
      </c>
      <c r="D44" s="506" t="str">
        <f>IFERROR(VLOOKUP(B44,Fontes!$A$9:$AC$6124,2,FALSE),0)</f>
        <v>Damper de regulagem de ar ref.: JN-B 200 x 200 mm fabr. Trox ou equivalente</v>
      </c>
      <c r="E44" s="507">
        <f>IFERROR(VLOOKUP(D44,Planilha!$B$10:$AC$943,4,FALSE),0)</f>
        <v>0</v>
      </c>
      <c r="F44" s="508">
        <f>IFERROR(VLOOKUP(E44,Planilha!$B$10:$AC$943,4,FALSE),0)</f>
        <v>0</v>
      </c>
      <c r="G44" s="75" t="str">
        <f>IFERROR(VLOOKUP(B44,Fontes!$A$9:$AC$6124,3,FALSE),0)</f>
        <v>un</v>
      </c>
      <c r="H44" s="75">
        <v>1</v>
      </c>
      <c r="I44" s="77">
        <v>141</v>
      </c>
      <c r="J44" s="264">
        <v>113</v>
      </c>
      <c r="K44" s="77">
        <v>213.27901957044332</v>
      </c>
      <c r="L44" s="264">
        <v>170.92573908836945</v>
      </c>
      <c r="M44" s="77"/>
      <c r="N44" s="264"/>
      <c r="O44" s="78">
        <f t="shared" si="2"/>
        <v>177.13950978522166</v>
      </c>
      <c r="P44" s="78">
        <f t="shared" si="3"/>
        <v>141.96286954418474</v>
      </c>
      <c r="S44" s="18"/>
      <c r="T44" s="18"/>
      <c r="W44" s="53"/>
      <c r="X44" s="53"/>
    </row>
    <row r="45" spans="2:24" ht="20.100000000000001" customHeight="1" x14ac:dyDescent="0.2">
      <c r="B45" s="83" t="s">
        <v>1498</v>
      </c>
      <c r="C45" s="74">
        <v>23</v>
      </c>
      <c r="D45" s="506" t="str">
        <f>IFERROR(VLOOKUP(B45,Fontes!$A$9:$AC$6124,2,FALSE),0)</f>
        <v>Damper de regulagem de ar ref.: JN-B 250 x 200 mm fabr. Trox ou equivalente</v>
      </c>
      <c r="E45" s="507">
        <f>IFERROR(VLOOKUP(D45,Planilha!$B$10:$AC$943,4,FALSE),0)</f>
        <v>0</v>
      </c>
      <c r="F45" s="508">
        <f>IFERROR(VLOOKUP(E45,Planilha!$B$10:$AC$943,4,FALSE),0)</f>
        <v>0</v>
      </c>
      <c r="G45" s="75" t="str">
        <f>IFERROR(VLOOKUP(B45,Fontes!$A$9:$AC$6124,3,FALSE),0)</f>
        <v>un</v>
      </c>
      <c r="H45" s="75">
        <v>1</v>
      </c>
      <c r="I45" s="77">
        <v>160</v>
      </c>
      <c r="J45" s="264">
        <v>128</v>
      </c>
      <c r="K45" s="77">
        <v>242.01874561185059</v>
      </c>
      <c r="L45" s="264">
        <v>193.61499648948046</v>
      </c>
      <c r="M45" s="77"/>
      <c r="N45" s="264"/>
      <c r="O45" s="78">
        <f t="shared" si="2"/>
        <v>201.0093728059253</v>
      </c>
      <c r="P45" s="78">
        <f t="shared" si="3"/>
        <v>160.80749824474023</v>
      </c>
      <c r="S45" s="18"/>
      <c r="T45" s="18"/>
      <c r="W45" s="53"/>
      <c r="X45" s="53"/>
    </row>
    <row r="46" spans="2:24" ht="20.100000000000001" customHeight="1" x14ac:dyDescent="0.2">
      <c r="B46" s="83" t="s">
        <v>1499</v>
      </c>
      <c r="C46" s="74">
        <v>24</v>
      </c>
      <c r="D46" s="506" t="str">
        <f>IFERROR(VLOOKUP(B46,Fontes!$A$9:$AC$6124,2,FALSE),0)</f>
        <v>Damper de regulagem de ar ref.: JN-B 250 x 250 mm fabr. Trox ou equivalente</v>
      </c>
      <c r="E46" s="507">
        <f>IFERROR(VLOOKUP(D46,Planilha!$B$10:$AC$943,4,FALSE),0)</f>
        <v>0</v>
      </c>
      <c r="F46" s="508">
        <f>IFERROR(VLOOKUP(E46,Planilha!$B$10:$AC$943,4,FALSE),0)</f>
        <v>0</v>
      </c>
      <c r="G46" s="75" t="str">
        <f>IFERROR(VLOOKUP(B46,Fontes!$A$9:$AC$6124,3,FALSE),0)</f>
        <v>un</v>
      </c>
      <c r="H46" s="75">
        <v>1</v>
      </c>
      <c r="I46" s="77">
        <v>181</v>
      </c>
      <c r="J46" s="264">
        <v>145</v>
      </c>
      <c r="K46" s="77">
        <v>273.78370597340597</v>
      </c>
      <c r="L46" s="264">
        <v>219.32948821073958</v>
      </c>
      <c r="M46" s="77"/>
      <c r="N46" s="264"/>
      <c r="O46" s="78">
        <f t="shared" si="2"/>
        <v>227.39185298670299</v>
      </c>
      <c r="P46" s="78">
        <f t="shared" si="3"/>
        <v>182.16474410536978</v>
      </c>
      <c r="S46" s="18"/>
      <c r="T46" s="18"/>
      <c r="W46" s="53"/>
      <c r="X46" s="53"/>
    </row>
    <row r="47" spans="2:24" ht="20.100000000000001" customHeight="1" x14ac:dyDescent="0.2">
      <c r="B47" s="83" t="s">
        <v>1500</v>
      </c>
      <c r="C47" s="74">
        <v>25</v>
      </c>
      <c r="D47" s="506" t="str">
        <f>IFERROR(VLOOKUP(B47,Fontes!$A$9:$AC$6124,2,FALSE),0)</f>
        <v>Damper de regulagem de ar ref.: JN-B 300 x 150 mm fabr. Trox ou equivalente</v>
      </c>
      <c r="E47" s="507">
        <f>IFERROR(VLOOKUP(D47,Planilha!$B$10:$AC$943,4,FALSE),0)</f>
        <v>0</v>
      </c>
      <c r="F47" s="508">
        <f>IFERROR(VLOOKUP(E47,Planilha!$B$10:$AC$943,4,FALSE),0)</f>
        <v>0</v>
      </c>
      <c r="G47" s="75" t="str">
        <f>IFERROR(VLOOKUP(B47,Fontes!$A$9:$AC$6124,3,FALSE),0)</f>
        <v>un</v>
      </c>
      <c r="H47" s="75">
        <v>1</v>
      </c>
      <c r="I47" s="77">
        <v>155</v>
      </c>
      <c r="J47" s="264">
        <v>124</v>
      </c>
      <c r="K47" s="77">
        <v>234.45565981148025</v>
      </c>
      <c r="L47" s="264">
        <v>187.5645278491842</v>
      </c>
      <c r="M47" s="77"/>
      <c r="N47" s="264"/>
      <c r="O47" s="78">
        <f t="shared" si="2"/>
        <v>194.72782990574012</v>
      </c>
      <c r="P47" s="78">
        <f t="shared" si="3"/>
        <v>155.78226392459209</v>
      </c>
      <c r="S47" s="18"/>
      <c r="T47" s="18"/>
      <c r="W47" s="53"/>
      <c r="X47" s="53"/>
    </row>
    <row r="48" spans="2:24" ht="20.100000000000001" customHeight="1" x14ac:dyDescent="0.2">
      <c r="B48" s="83" t="s">
        <v>1501</v>
      </c>
      <c r="C48" s="74">
        <v>26</v>
      </c>
      <c r="D48" s="506" t="str">
        <f>IFERROR(VLOOKUP(B48,Fontes!$A$9:$AC$6124,2,FALSE),0)</f>
        <v>Damper de regulagem de ar ref.: JN-B 300 x 200 mm fabr. Trox ou equivalente</v>
      </c>
      <c r="E48" s="507">
        <f>IFERROR(VLOOKUP(D48,Planilha!$B$10:$AC$943,4,FALSE),0)</f>
        <v>0</v>
      </c>
      <c r="F48" s="508">
        <f>IFERROR(VLOOKUP(E48,Planilha!$B$10:$AC$943,4,FALSE),0)</f>
        <v>0</v>
      </c>
      <c r="G48" s="75" t="str">
        <f>IFERROR(VLOOKUP(B48,Fontes!$A$9:$AC$6124,3,FALSE),0)</f>
        <v>un</v>
      </c>
      <c r="H48" s="75">
        <v>1</v>
      </c>
      <c r="I48" s="77">
        <v>178</v>
      </c>
      <c r="J48" s="264">
        <v>142</v>
      </c>
      <c r="K48" s="77">
        <v>269.2458544931838</v>
      </c>
      <c r="L48" s="264">
        <v>214.79163673051735</v>
      </c>
      <c r="M48" s="77"/>
      <c r="N48" s="264"/>
      <c r="O48" s="78">
        <f t="shared" si="2"/>
        <v>223.6229272465919</v>
      </c>
      <c r="P48" s="78">
        <f t="shared" si="3"/>
        <v>178.39581836525866</v>
      </c>
      <c r="S48" s="18"/>
      <c r="T48" s="18"/>
      <c r="W48" s="53"/>
      <c r="X48" s="53"/>
    </row>
    <row r="49" spans="2:24" ht="20.100000000000001" customHeight="1" x14ac:dyDescent="0.2">
      <c r="B49" s="83" t="s">
        <v>1502</v>
      </c>
      <c r="C49" s="74">
        <v>27</v>
      </c>
      <c r="D49" s="506" t="str">
        <f>IFERROR(VLOOKUP(B49,Fontes!$A$9:$AC$6124,2,FALSE),0)</f>
        <v>Damper de regulagem de ar ref.: JN-B 300 x 250 mm fabr. Trox ou equivalente</v>
      </c>
      <c r="E49" s="507">
        <f>IFERROR(VLOOKUP(D49,Planilha!$B$10:$AC$943,4,FALSE),0)</f>
        <v>0</v>
      </c>
      <c r="F49" s="508">
        <f>IFERROR(VLOOKUP(E49,Planilha!$B$10:$AC$943,4,FALSE),0)</f>
        <v>0</v>
      </c>
      <c r="G49" s="75" t="str">
        <f>IFERROR(VLOOKUP(B49,Fontes!$A$9:$AC$6124,3,FALSE),0)</f>
        <v>un</v>
      </c>
      <c r="H49" s="75">
        <v>1</v>
      </c>
      <c r="I49" s="77">
        <v>199</v>
      </c>
      <c r="J49" s="264">
        <v>160</v>
      </c>
      <c r="K49" s="77">
        <v>301.01081485473918</v>
      </c>
      <c r="L49" s="264">
        <v>242.01874561185056</v>
      </c>
      <c r="M49" s="77"/>
      <c r="N49" s="264"/>
      <c r="O49" s="78">
        <f t="shared" si="2"/>
        <v>250.00540742736959</v>
      </c>
      <c r="P49" s="78">
        <f t="shared" si="3"/>
        <v>201.0093728059253</v>
      </c>
      <c r="S49" s="18"/>
      <c r="T49" s="18"/>
      <c r="W49" s="53"/>
      <c r="X49" s="53"/>
    </row>
    <row r="50" spans="2:24" ht="20.100000000000001" customHeight="1" x14ac:dyDescent="0.2">
      <c r="B50" s="83" t="s">
        <v>1503</v>
      </c>
      <c r="C50" s="74">
        <v>28</v>
      </c>
      <c r="D50" s="506" t="str">
        <f>IFERROR(VLOOKUP(B50,Fontes!$A$9:$AC$6124,2,FALSE),0)</f>
        <v>Damper de regulagem de ar ref.: JN-B 400 x 200 mm fabr. Trox ou equivalente</v>
      </c>
      <c r="E50" s="507">
        <f>IFERROR(VLOOKUP(D50,Planilha!$B$10:$AC$943,4,FALSE),0)</f>
        <v>0</v>
      </c>
      <c r="F50" s="508">
        <f>IFERROR(VLOOKUP(E50,Planilha!$B$10:$AC$943,4,FALSE),0)</f>
        <v>0</v>
      </c>
      <c r="G50" s="75" t="str">
        <f>IFERROR(VLOOKUP(B50,Fontes!$A$9:$AC$6124,3,FALSE),0)</f>
        <v>un</v>
      </c>
      <c r="H50" s="75">
        <v>1</v>
      </c>
      <c r="I50" s="77">
        <v>216</v>
      </c>
      <c r="J50" s="264">
        <v>173</v>
      </c>
      <c r="K50" s="77">
        <v>326.72530657599833</v>
      </c>
      <c r="L50" s="264">
        <v>261.6827686928134</v>
      </c>
      <c r="M50" s="77"/>
      <c r="N50" s="264"/>
      <c r="O50" s="78">
        <f t="shared" si="2"/>
        <v>271.36265328799914</v>
      </c>
      <c r="P50" s="78">
        <f t="shared" si="3"/>
        <v>217.3413843464067</v>
      </c>
      <c r="S50" s="18"/>
      <c r="T50" s="18"/>
      <c r="W50" s="53"/>
      <c r="X50" s="53"/>
    </row>
    <row r="51" spans="2:24" ht="20.100000000000001" customHeight="1" x14ac:dyDescent="0.2">
      <c r="B51" s="83" t="s">
        <v>1504</v>
      </c>
      <c r="C51" s="74">
        <v>29</v>
      </c>
      <c r="D51" s="506" t="str">
        <f>IFERROR(VLOOKUP(B51,Fontes!$A$9:$AC$6124,2,FALSE),0)</f>
        <v>Damper de regulagem de ar ref.: JN-B 400 x 300 mm fabr. Trox ou equivalente</v>
      </c>
      <c r="E51" s="507">
        <f>IFERROR(VLOOKUP(D51,Planilha!$B$10:$AC$943,4,FALSE),0)</f>
        <v>0</v>
      </c>
      <c r="F51" s="508">
        <f>IFERROR(VLOOKUP(E51,Planilha!$B$10:$AC$943,4,FALSE),0)</f>
        <v>0</v>
      </c>
      <c r="G51" s="75" t="str">
        <f>IFERROR(VLOOKUP(B51,Fontes!$A$9:$AC$6124,3,FALSE),0)</f>
        <v>un</v>
      </c>
      <c r="H51" s="75">
        <v>1</v>
      </c>
      <c r="I51" s="77">
        <v>267</v>
      </c>
      <c r="J51" s="264">
        <v>214</v>
      </c>
      <c r="K51" s="77">
        <v>403.86878173977567</v>
      </c>
      <c r="L51" s="264">
        <v>323.70007225585016</v>
      </c>
      <c r="M51" s="77"/>
      <c r="N51" s="264"/>
      <c r="O51" s="78">
        <f t="shared" si="2"/>
        <v>335.43439086988781</v>
      </c>
      <c r="P51" s="78">
        <f t="shared" si="3"/>
        <v>268.85003612792508</v>
      </c>
      <c r="S51" s="18"/>
      <c r="T51" s="18"/>
      <c r="W51" s="53"/>
      <c r="X51" s="53"/>
    </row>
    <row r="52" spans="2:24" ht="20.100000000000001" customHeight="1" x14ac:dyDescent="0.2">
      <c r="B52" s="83" t="s">
        <v>1505</v>
      </c>
      <c r="C52" s="74">
        <v>30</v>
      </c>
      <c r="D52" s="506" t="str">
        <f>IFERROR(VLOOKUP(B52,Fontes!$A$9:$AC$6124,2,FALSE),0)</f>
        <v>Damper de regulagem de ar ref.: JN-B 500 x 250 mm fabr. Trox</v>
      </c>
      <c r="E52" s="507">
        <f>IFERROR(VLOOKUP(D52,Planilha!$B$10:$AC$943,4,FALSE),0)</f>
        <v>0</v>
      </c>
      <c r="F52" s="508">
        <f>IFERROR(VLOOKUP(E52,Planilha!$B$10:$AC$943,4,FALSE),0)</f>
        <v>0</v>
      </c>
      <c r="G52" s="75" t="str">
        <f>IFERROR(VLOOKUP(B52,Fontes!$A$9:$AC$6124,3,FALSE),0)</f>
        <v>un</v>
      </c>
      <c r="H52" s="75">
        <v>1</v>
      </c>
      <c r="I52" s="77">
        <v>291</v>
      </c>
      <c r="J52" s="264">
        <v>233</v>
      </c>
      <c r="K52" s="77">
        <v>440.17159358155328</v>
      </c>
      <c r="L52" s="264">
        <v>352.43979829725737</v>
      </c>
      <c r="M52" s="77"/>
      <c r="N52" s="264"/>
      <c r="O52" s="78">
        <f t="shared" si="2"/>
        <v>365.58579679077661</v>
      </c>
      <c r="P52" s="78">
        <f t="shared" si="3"/>
        <v>292.71989914862866</v>
      </c>
      <c r="S52" s="18"/>
      <c r="T52" s="18"/>
      <c r="W52" s="53"/>
      <c r="X52" s="53"/>
    </row>
    <row r="53" spans="2:24" ht="20.100000000000001" customHeight="1" x14ac:dyDescent="0.2">
      <c r="B53" s="83" t="s">
        <v>1506</v>
      </c>
      <c r="C53" s="74">
        <v>31</v>
      </c>
      <c r="D53" s="506" t="str">
        <f>IFERROR(VLOOKUP(B53,Fontes!$A$9:$AC$6124,2,FALSE),0)</f>
        <v>Damper de regulagem de ar ref.: JN-B 600 x 300 mm fabr. Trox ou equivalente</v>
      </c>
      <c r="E53" s="507">
        <f>IFERROR(VLOOKUP(D53,Planilha!$B$10:$AC$943,4,FALSE),0)</f>
        <v>0</v>
      </c>
      <c r="F53" s="508">
        <f>IFERROR(VLOOKUP(E53,Planilha!$B$10:$AC$943,4,FALSE),0)</f>
        <v>0</v>
      </c>
      <c r="G53" s="75" t="str">
        <f>IFERROR(VLOOKUP(B53,Fontes!$A$9:$AC$6124,3,FALSE),0)</f>
        <v>un</v>
      </c>
      <c r="H53" s="75">
        <v>1</v>
      </c>
      <c r="I53" s="77">
        <v>355</v>
      </c>
      <c r="J53" s="264">
        <v>284</v>
      </c>
      <c r="K53" s="77">
        <v>536.97909182629348</v>
      </c>
      <c r="L53" s="264">
        <v>429.58327346103471</v>
      </c>
      <c r="M53" s="77"/>
      <c r="N53" s="264"/>
      <c r="O53" s="78">
        <f t="shared" si="2"/>
        <v>445.98954591314674</v>
      </c>
      <c r="P53" s="78">
        <f t="shared" si="3"/>
        <v>356.79163673051733</v>
      </c>
      <c r="S53" s="18"/>
      <c r="T53" s="18"/>
      <c r="W53" s="53"/>
      <c r="X53" s="53"/>
    </row>
    <row r="54" spans="2:24" ht="20.100000000000001" customHeight="1" x14ac:dyDescent="0.2">
      <c r="B54" s="83" t="s">
        <v>1507</v>
      </c>
      <c r="C54" s="74">
        <v>32</v>
      </c>
      <c r="D54" s="506" t="str">
        <f>IFERROR(VLOOKUP(B54,Fontes!$A$9:$AC$6124,2,FALSE),0)</f>
        <v>Damper de sobre pressão ref.: KUL-E 600 x 300 mm fabr. Trox ou equivalente</v>
      </c>
      <c r="E54" s="507">
        <f>IFERROR(VLOOKUP(D54,Planilha!$B$10:$AC$943,4,FALSE),0)</f>
        <v>0</v>
      </c>
      <c r="F54" s="508">
        <f>IFERROR(VLOOKUP(E54,Planilha!$B$10:$AC$943,4,FALSE),0)</f>
        <v>0</v>
      </c>
      <c r="G54" s="75" t="str">
        <f>IFERROR(VLOOKUP(B54,Fontes!$A$9:$AC$6124,3,FALSE),0)</f>
        <v>un</v>
      </c>
      <c r="H54" s="75">
        <v>1</v>
      </c>
      <c r="I54" s="77">
        <v>319</v>
      </c>
      <c r="J54" s="264">
        <v>255</v>
      </c>
      <c r="K54" s="77">
        <v>482.52487406362712</v>
      </c>
      <c r="L54" s="264">
        <v>385.71737581888686</v>
      </c>
      <c r="M54" s="77"/>
      <c r="N54" s="264"/>
      <c r="O54" s="78">
        <f t="shared" si="2"/>
        <v>400.76243703181353</v>
      </c>
      <c r="P54" s="78">
        <f t="shared" si="3"/>
        <v>320.35868790944346</v>
      </c>
      <c r="S54" s="18"/>
      <c r="T54" s="18"/>
      <c r="W54" s="53"/>
      <c r="X54" s="53"/>
    </row>
    <row r="55" spans="2:24" ht="20.100000000000001" customHeight="1" x14ac:dyDescent="0.2">
      <c r="B55" s="83" t="s">
        <v>1508</v>
      </c>
      <c r="C55" s="74">
        <v>33</v>
      </c>
      <c r="D55" s="506" t="str">
        <f>IFERROR(VLOOKUP(B55,Fontes!$A$9:$AC$6124,2,FALSE),0)</f>
        <v>Damper corta-fogo ref.: FKA-TI 200 x 150 mm fabr. Trox ou equivalente</v>
      </c>
      <c r="E55" s="507">
        <f>IFERROR(VLOOKUP(D55,Planilha!$B$10:$AC$943,4,FALSE),0)</f>
        <v>0</v>
      </c>
      <c r="F55" s="508">
        <f>IFERROR(VLOOKUP(E55,Planilha!$B$10:$AC$943,4,FALSE),0)</f>
        <v>0</v>
      </c>
      <c r="G55" s="75" t="str">
        <f>IFERROR(VLOOKUP(B55,Fontes!$A$9:$AC$6124,3,FALSE),0)</f>
        <v>un</v>
      </c>
      <c r="H55" s="75">
        <v>1</v>
      </c>
      <c r="I55" s="77">
        <v>517</v>
      </c>
      <c r="J55" s="264">
        <v>413</v>
      </c>
      <c r="K55" s="77">
        <v>782.0230717582923</v>
      </c>
      <c r="L55" s="264">
        <v>624.71088711058928</v>
      </c>
      <c r="M55" s="77"/>
      <c r="N55" s="264"/>
      <c r="O55" s="78">
        <f t="shared" si="2"/>
        <v>649.51153587914609</v>
      </c>
      <c r="P55" s="78">
        <f t="shared" si="3"/>
        <v>518.85544355529464</v>
      </c>
      <c r="S55" s="18"/>
      <c r="T55" s="18"/>
      <c r="W55" s="53"/>
      <c r="X55" s="53"/>
    </row>
    <row r="56" spans="2:24" ht="20.100000000000001" customHeight="1" x14ac:dyDescent="0.2">
      <c r="B56" s="83" t="s">
        <v>1509</v>
      </c>
      <c r="C56" s="74">
        <v>34</v>
      </c>
      <c r="D56" s="506" t="str">
        <f>IFERROR(VLOOKUP(B56,Fontes!$A$9:$AC$6124,2,FALSE),0)</f>
        <v>Damper corta-fogo ref.: FKA-TI 250 x 200 mm fabr. Trox ou equivalente</v>
      </c>
      <c r="E56" s="507">
        <f>IFERROR(VLOOKUP(D56,Planilha!$B$10:$AC$943,4,FALSE),0)</f>
        <v>0</v>
      </c>
      <c r="F56" s="508">
        <f>IFERROR(VLOOKUP(E56,Planilha!$B$10:$AC$943,4,FALSE),0)</f>
        <v>0</v>
      </c>
      <c r="G56" s="75" t="str">
        <f>IFERROR(VLOOKUP(B56,Fontes!$A$9:$AC$6124,3,FALSE),0)</f>
        <v>un</v>
      </c>
      <c r="H56" s="75">
        <v>1</v>
      </c>
      <c r="I56" s="77">
        <v>573</v>
      </c>
      <c r="J56" s="264">
        <v>458</v>
      </c>
      <c r="K56" s="77">
        <v>866.72963272243987</v>
      </c>
      <c r="L56" s="264">
        <v>692.77865931392216</v>
      </c>
      <c r="M56" s="77"/>
      <c r="N56" s="264"/>
      <c r="O56" s="78">
        <f t="shared" si="2"/>
        <v>719.86481636121994</v>
      </c>
      <c r="P56" s="78">
        <f t="shared" si="3"/>
        <v>575.38932965696108</v>
      </c>
      <c r="S56" s="18"/>
      <c r="T56" s="18"/>
      <c r="W56" s="53"/>
      <c r="X56" s="53"/>
    </row>
    <row r="57" spans="2:24" ht="20.100000000000001" customHeight="1" x14ac:dyDescent="0.2">
      <c r="B57" s="83" t="s">
        <v>1510</v>
      </c>
      <c r="C57" s="74">
        <v>35</v>
      </c>
      <c r="D57" s="506" t="str">
        <f>IFERROR(VLOOKUP(B57,Fontes!$A$9:$AC$6124,2,FALSE),0)</f>
        <v>Damper corta-fogo ref.: FKA-TI 250 x 250 mm fabr. Trox ou equivalente</v>
      </c>
      <c r="E57" s="507">
        <f>IFERROR(VLOOKUP(D57,Planilha!$B$10:$AC$943,4,FALSE),0)</f>
        <v>0</v>
      </c>
      <c r="F57" s="508">
        <f>IFERROR(VLOOKUP(E57,Planilha!$B$10:$AC$943,4,FALSE),0)</f>
        <v>0</v>
      </c>
      <c r="G57" s="75" t="str">
        <f>IFERROR(VLOOKUP(B57,Fontes!$A$9:$AC$6124,3,FALSE),0)</f>
        <v>un</v>
      </c>
      <c r="H57" s="75">
        <v>1</v>
      </c>
      <c r="I57" s="77">
        <v>635</v>
      </c>
      <c r="J57" s="264">
        <v>508</v>
      </c>
      <c r="K57" s="77">
        <v>960.51189664703202</v>
      </c>
      <c r="L57" s="264">
        <v>768.4095173176255</v>
      </c>
      <c r="M57" s="77"/>
      <c r="N57" s="264"/>
      <c r="O57" s="78">
        <f t="shared" si="2"/>
        <v>797.75594832351601</v>
      </c>
      <c r="P57" s="78">
        <f t="shared" si="3"/>
        <v>638.20475865881281</v>
      </c>
      <c r="S57" s="18"/>
      <c r="T57" s="18"/>
      <c r="W57" s="53"/>
      <c r="X57" s="53"/>
    </row>
    <row r="58" spans="2:24" ht="20.100000000000001" customHeight="1" x14ac:dyDescent="0.2">
      <c r="B58" s="83" t="s">
        <v>1511</v>
      </c>
      <c r="C58" s="74">
        <v>36</v>
      </c>
      <c r="D58" s="506" t="str">
        <f>IFERROR(VLOOKUP(B58,Fontes!$A$9:$AC$6124,2,FALSE),0)</f>
        <v>Damper corta-fogo ref.: FKA-TI 300 x 200 mm fabr. Trox ou equivalente</v>
      </c>
      <c r="E58" s="507">
        <f>IFERROR(VLOOKUP(D58,Planilha!$B$10:$AC$943,4,FALSE),0)</f>
        <v>0</v>
      </c>
      <c r="F58" s="508">
        <f>IFERROR(VLOOKUP(E58,Planilha!$B$10:$AC$943,4,FALSE),0)</f>
        <v>0</v>
      </c>
      <c r="G58" s="75" t="str">
        <f>IFERROR(VLOOKUP(B58,Fontes!$A$9:$AC$6124,3,FALSE),0)</f>
        <v>un</v>
      </c>
      <c r="H58" s="75">
        <v>1</v>
      </c>
      <c r="I58" s="77">
        <v>628</v>
      </c>
      <c r="J58" s="264">
        <v>503</v>
      </c>
      <c r="K58" s="77">
        <v>949.92357652651367</v>
      </c>
      <c r="L58" s="264">
        <v>760.84643151725527</v>
      </c>
      <c r="M58" s="77"/>
      <c r="N58" s="264"/>
      <c r="O58" s="78">
        <f t="shared" si="2"/>
        <v>788.96178826325684</v>
      </c>
      <c r="P58" s="78">
        <f t="shared" si="3"/>
        <v>631.92321575862763</v>
      </c>
      <c r="S58" s="18"/>
      <c r="T58" s="18"/>
      <c r="W58" s="53"/>
      <c r="X58" s="53"/>
    </row>
    <row r="59" spans="2:24" ht="20.100000000000001" customHeight="1" x14ac:dyDescent="0.2">
      <c r="B59" s="83" t="s">
        <v>1512</v>
      </c>
      <c r="C59" s="74">
        <v>37</v>
      </c>
      <c r="D59" s="506" t="str">
        <f>IFERROR(VLOOKUP(B59,Fontes!$A$9:$AC$6124,2,FALSE),0)</f>
        <v>Damper corta-fogo ref.: FKA-TI 600 x 300 mm fabr. Trox ou equivalente</v>
      </c>
      <c r="E59" s="507">
        <f>IFERROR(VLOOKUP(D59,Planilha!$B$10:$AC$943,4,FALSE),0)</f>
        <v>0</v>
      </c>
      <c r="F59" s="508">
        <f>IFERROR(VLOOKUP(E59,Planilha!$B$10:$AC$943,4,FALSE),0)</f>
        <v>0</v>
      </c>
      <c r="G59" s="75" t="str">
        <f>IFERROR(VLOOKUP(B59,Fontes!$A$9:$AC$6124,3,FALSE),0)</f>
        <v>un</v>
      </c>
      <c r="H59" s="75">
        <v>1</v>
      </c>
      <c r="I59" s="77">
        <v>1160</v>
      </c>
      <c r="J59" s="264">
        <v>928</v>
      </c>
      <c r="K59" s="77">
        <v>1754.6359056859169</v>
      </c>
      <c r="L59" s="264">
        <v>1403.7087245487332</v>
      </c>
      <c r="M59" s="77"/>
      <c r="N59" s="264"/>
      <c r="O59" s="78">
        <f t="shared" si="2"/>
        <v>1457.3179528429584</v>
      </c>
      <c r="P59" s="78">
        <f t="shared" si="3"/>
        <v>1165.8543622743666</v>
      </c>
      <c r="S59" s="18"/>
      <c r="T59" s="18"/>
      <c r="W59" s="53"/>
      <c r="X59" s="53"/>
    </row>
    <row r="60" spans="2:24" ht="24.95" customHeight="1" x14ac:dyDescent="0.2">
      <c r="B60" s="83" t="s">
        <v>1513</v>
      </c>
      <c r="C60" s="74">
        <v>38</v>
      </c>
      <c r="D60" s="506" t="str">
        <f>IFERROR(VLOOKUP(B60,Fontes!$A$9:$AC$6124,2,FALSE),0)</f>
        <v>Difusor para insuflamento de ar e registro do tipo "OB" modelo de referência: ADKJ-AG fabricante de referência "Trox ou equivalente". tamanho 3 com 4 vias.</v>
      </c>
      <c r="E60" s="507">
        <f>IFERROR(VLOOKUP(D60,Planilha!$B$10:$AC$943,4,FALSE),0)</f>
        <v>0</v>
      </c>
      <c r="F60" s="508">
        <f>IFERROR(VLOOKUP(E60,Planilha!$B$10:$AC$943,4,FALSE),0)</f>
        <v>0</v>
      </c>
      <c r="G60" s="75" t="str">
        <f>IFERROR(VLOOKUP(B60,Fontes!$A$9:$AC$6124,3,FALSE),0)</f>
        <v>un</v>
      </c>
      <c r="H60" s="75">
        <v>1</v>
      </c>
      <c r="I60" s="77">
        <v>352</v>
      </c>
      <c r="J60" s="264">
        <v>282</v>
      </c>
      <c r="K60" s="77">
        <v>532.44124034607137</v>
      </c>
      <c r="L60" s="264">
        <v>426.55803914088659</v>
      </c>
      <c r="M60" s="77"/>
      <c r="N60" s="264"/>
      <c r="O60" s="78">
        <f t="shared" si="2"/>
        <v>442.22062017303568</v>
      </c>
      <c r="P60" s="78">
        <f t="shared" si="3"/>
        <v>354.27901957044332</v>
      </c>
      <c r="S60" s="18"/>
      <c r="T60" s="18"/>
      <c r="W60" s="53"/>
      <c r="X60" s="53"/>
    </row>
    <row r="61" spans="2:24" ht="24.95" customHeight="1" x14ac:dyDescent="0.2">
      <c r="B61" s="83" t="s">
        <v>1514</v>
      </c>
      <c r="C61" s="74">
        <v>39</v>
      </c>
      <c r="D61" s="506" t="str">
        <f>IFERROR(VLOOKUP(B61,Fontes!$A$9:$AC$6124,2,FALSE),0)</f>
        <v>Difusor para insuflamento de ar e registro do tipo "OB" modelo de referência: ADKJ-AG fabricante de referência "Trox ou equivalente". tamanho 4 com 4 vias.</v>
      </c>
      <c r="E61" s="507">
        <f>IFERROR(VLOOKUP(D61,Planilha!$B$10:$AC$943,4,FALSE),0)</f>
        <v>0</v>
      </c>
      <c r="F61" s="508">
        <f>IFERROR(VLOOKUP(E61,Planilha!$B$10:$AC$943,4,FALSE),0)</f>
        <v>0</v>
      </c>
      <c r="G61" s="75" t="str">
        <f>IFERROR(VLOOKUP(B61,Fontes!$A$9:$AC$6124,3,FALSE),0)</f>
        <v>un</v>
      </c>
      <c r="H61" s="75">
        <v>1</v>
      </c>
      <c r="I61" s="77">
        <v>426</v>
      </c>
      <c r="J61" s="264">
        <v>341</v>
      </c>
      <c r="K61" s="77">
        <v>644.3749101915522</v>
      </c>
      <c r="L61" s="264">
        <v>515.80245158525645</v>
      </c>
      <c r="M61" s="77"/>
      <c r="N61" s="264"/>
      <c r="O61" s="78">
        <f t="shared" si="2"/>
        <v>535.18745509577616</v>
      </c>
      <c r="P61" s="78">
        <f t="shared" si="3"/>
        <v>428.40122579262822</v>
      </c>
      <c r="S61" s="18"/>
      <c r="T61" s="18"/>
      <c r="W61" s="53"/>
      <c r="X61" s="53"/>
    </row>
    <row r="62" spans="2:24" ht="24.95" customHeight="1" x14ac:dyDescent="0.2">
      <c r="B62" s="83" t="s">
        <v>1515</v>
      </c>
      <c r="C62" s="74">
        <v>40</v>
      </c>
      <c r="D62" s="506" t="str">
        <f>IFERROR(VLOOKUP(B62,Fontes!$A$9:$AC$6124,2,FALSE),0)</f>
        <v>Difusor para insuflamento de ar e registro do tipo "OB" modelo de referência: ADKJ-AG fabricante de referência "Trox ou equivalente". tamanho 5 com 4 vias.</v>
      </c>
      <c r="E62" s="507">
        <f>IFERROR(VLOOKUP(D62,Planilha!$B$10:$AC$943,4,FALSE),0)</f>
        <v>0</v>
      </c>
      <c r="F62" s="508">
        <f>IFERROR(VLOOKUP(E62,Planilha!$B$10:$AC$943,4,FALSE),0)</f>
        <v>0</v>
      </c>
      <c r="G62" s="75" t="str">
        <f>IFERROR(VLOOKUP(B62,Fontes!$A$9:$AC$6124,3,FALSE),0)</f>
        <v>un</v>
      </c>
      <c r="H62" s="75">
        <v>1</v>
      </c>
      <c r="I62" s="77">
        <v>534</v>
      </c>
      <c r="J62" s="264">
        <v>427</v>
      </c>
      <c r="K62" s="77">
        <v>807.73756347955134</v>
      </c>
      <c r="L62" s="264">
        <v>645.8875273516262</v>
      </c>
      <c r="M62" s="77"/>
      <c r="N62" s="264"/>
      <c r="O62" s="78">
        <f t="shared" si="2"/>
        <v>670.86878173977561</v>
      </c>
      <c r="P62" s="78">
        <f t="shared" si="3"/>
        <v>536.4437636758131</v>
      </c>
      <c r="S62" s="18"/>
      <c r="T62" s="18"/>
      <c r="W62" s="53"/>
      <c r="X62" s="53"/>
    </row>
    <row r="63" spans="2:24" ht="24.95" customHeight="1" x14ac:dyDescent="0.2">
      <c r="B63" s="83" t="s">
        <v>1516</v>
      </c>
      <c r="C63" s="74">
        <v>41</v>
      </c>
      <c r="D63" s="506" t="str">
        <f>IFERROR(VLOOKUP(B63,Fontes!$A$9:$AC$6124,2,FALSE),0)</f>
        <v>Difusor para insuflamento de ar e registro do tipo "OB" modelo de referência: ADKJ-AG fabricante de referência "Trox ou equivalente". tamanho 6 com 4 vias.</v>
      </c>
      <c r="E63" s="507">
        <f>IFERROR(VLOOKUP(D63,Planilha!$B$10:$AC$943,4,FALSE),0)</f>
        <v>0</v>
      </c>
      <c r="F63" s="508">
        <f>IFERROR(VLOOKUP(E63,Planilha!$B$10:$AC$943,4,FALSE),0)</f>
        <v>0</v>
      </c>
      <c r="G63" s="75" t="str">
        <f>IFERROR(VLOOKUP(B63,Fontes!$A$9:$AC$6124,3,FALSE),0)</f>
        <v>un</v>
      </c>
      <c r="H63" s="75">
        <v>1</v>
      </c>
      <c r="I63" s="77">
        <v>634</v>
      </c>
      <c r="J63" s="264">
        <v>508</v>
      </c>
      <c r="K63" s="77">
        <v>958.9992794869579</v>
      </c>
      <c r="L63" s="264">
        <v>768.4095173176255</v>
      </c>
      <c r="M63" s="77"/>
      <c r="N63" s="264"/>
      <c r="O63" s="78">
        <f t="shared" si="2"/>
        <v>796.49963974347895</v>
      </c>
      <c r="P63" s="78">
        <f t="shared" si="3"/>
        <v>638.20475865881281</v>
      </c>
      <c r="S63" s="18"/>
      <c r="T63" s="18"/>
      <c r="W63" s="53"/>
      <c r="X63" s="53"/>
    </row>
    <row r="64" spans="2:24" ht="24.95" customHeight="1" x14ac:dyDescent="0.2">
      <c r="B64" s="83" t="s">
        <v>1517</v>
      </c>
      <c r="C64" s="74">
        <v>42</v>
      </c>
      <c r="D64" s="506" t="str">
        <f>IFERROR(VLOOKUP(B64,Fontes!$A$9:$AC$6124,2,FALSE),0)</f>
        <v>Difusor para insuflamento de ar e registro do tipo "OB" modelo de referência: adq-ag. fabricante de referência "Trox ou equivalente". tamanho 471x268 mm, com 1 via.</v>
      </c>
      <c r="E64" s="507">
        <f>IFERROR(VLOOKUP(D64,Planilha!$B$10:$AC$943,4,FALSE),0)</f>
        <v>0</v>
      </c>
      <c r="F64" s="508">
        <f>IFERROR(VLOOKUP(E64,Planilha!$B$10:$AC$943,4,FALSE),0)</f>
        <v>0</v>
      </c>
      <c r="G64" s="75" t="str">
        <f>IFERROR(VLOOKUP(B64,Fontes!$A$9:$AC$6124,3,FALSE),0)</f>
        <v>un</v>
      </c>
      <c r="H64" s="75">
        <v>1</v>
      </c>
      <c r="I64" s="77">
        <v>207</v>
      </c>
      <c r="J64" s="264">
        <v>166</v>
      </c>
      <c r="K64" s="77">
        <v>313.1117521353317</v>
      </c>
      <c r="L64" s="264">
        <v>251.09444857229497</v>
      </c>
      <c r="M64" s="77"/>
      <c r="N64" s="264"/>
      <c r="O64" s="78">
        <f t="shared" si="2"/>
        <v>260.05587606766585</v>
      </c>
      <c r="P64" s="78">
        <f t="shared" si="3"/>
        <v>208.54722428614747</v>
      </c>
      <c r="S64" s="18"/>
      <c r="T64" s="18"/>
      <c r="W64" s="53"/>
      <c r="X64" s="53"/>
    </row>
    <row r="65" spans="2:24" ht="24.95" customHeight="1" x14ac:dyDescent="0.2">
      <c r="B65" s="83" t="s">
        <v>1518</v>
      </c>
      <c r="C65" s="74">
        <v>43</v>
      </c>
      <c r="D65" s="506" t="str">
        <f>IFERROR(VLOOKUP(B65,Fontes!$A$9:$AC$6124,2,FALSE),0)</f>
        <v>Difusor linear para insuflamento de ar.  modelo de referência: ALS-DS fabricante de referência "Trox ou equivalente". comprimento total = 6.000 mm com duas vias.</v>
      </c>
      <c r="E65" s="507">
        <f>IFERROR(VLOOKUP(D65,Planilha!$B$10:$AC$943,4,FALSE),0)</f>
        <v>0</v>
      </c>
      <c r="F65" s="508">
        <f>IFERROR(VLOOKUP(E65,Planilha!$B$10:$AC$943,4,FALSE),0)</f>
        <v>0</v>
      </c>
      <c r="G65" s="75" t="str">
        <f>IFERROR(VLOOKUP(B65,Fontes!$A$9:$AC$6124,3,FALSE),0)</f>
        <v>un</v>
      </c>
      <c r="H65" s="75">
        <v>1</v>
      </c>
      <c r="I65" s="77">
        <v>3200</v>
      </c>
      <c r="J65" s="264">
        <v>2560</v>
      </c>
      <c r="K65" s="77">
        <v>4840.3749122370118</v>
      </c>
      <c r="L65" s="264">
        <v>3872.299929789609</v>
      </c>
      <c r="M65" s="77"/>
      <c r="N65" s="264"/>
      <c r="O65" s="78">
        <f t="shared" si="2"/>
        <v>4020.1874561185059</v>
      </c>
      <c r="P65" s="78">
        <f t="shared" si="3"/>
        <v>3216.1499648948047</v>
      </c>
      <c r="S65" s="18"/>
      <c r="T65" s="18"/>
      <c r="W65" s="53"/>
      <c r="X65" s="53"/>
    </row>
    <row r="66" spans="2:24" ht="24.95" customHeight="1" x14ac:dyDescent="0.2">
      <c r="B66" s="83" t="s">
        <v>1519</v>
      </c>
      <c r="C66" s="74">
        <v>44</v>
      </c>
      <c r="D66" s="506" t="str">
        <f>IFERROR(VLOOKUP(B66,Fontes!$A$9:$AC$6124,2,FALSE),0)</f>
        <v>Difusor linear para insuflamento de ar.  modelo de referência: ALS-DS fabricante de referência "Trox ou equivalente". comprimento total = 4.000 mm com três vias.</v>
      </c>
      <c r="E66" s="507">
        <f>IFERROR(VLOOKUP(D66,Planilha!$B$10:$AC$943,4,FALSE),0)</f>
        <v>0</v>
      </c>
      <c r="F66" s="508">
        <f>IFERROR(VLOOKUP(E66,Planilha!$B$10:$AC$943,4,FALSE),0)</f>
        <v>0</v>
      </c>
      <c r="G66" s="75" t="str">
        <f>IFERROR(VLOOKUP(B66,Fontes!$A$9:$AC$6124,3,FALSE),0)</f>
        <v>un</v>
      </c>
      <c r="H66" s="75">
        <v>1</v>
      </c>
      <c r="I66" s="77">
        <v>2575</v>
      </c>
      <c r="J66" s="264">
        <v>2060</v>
      </c>
      <c r="K66" s="77">
        <v>3894.9891871907203</v>
      </c>
      <c r="L66" s="264">
        <v>3115.9913497525758</v>
      </c>
      <c r="M66" s="77"/>
      <c r="N66" s="264"/>
      <c r="O66" s="78">
        <f t="shared" si="2"/>
        <v>3234.9945935953601</v>
      </c>
      <c r="P66" s="78">
        <f t="shared" si="3"/>
        <v>2587.9956748762879</v>
      </c>
      <c r="S66" s="18"/>
      <c r="T66" s="18"/>
      <c r="W66" s="53"/>
      <c r="X66" s="53"/>
    </row>
    <row r="67" spans="2:24" ht="24.95" customHeight="1" x14ac:dyDescent="0.2">
      <c r="B67" s="83" t="s">
        <v>1520</v>
      </c>
      <c r="C67" s="74">
        <v>45</v>
      </c>
      <c r="D67" s="506" t="str">
        <f>IFERROR(VLOOKUP(B67,Fontes!$A$9:$AC$6124,2,FALSE),0)</f>
        <v>Difusor linear para insuflamento de ar.  modelo de referência: ALS-DS fabricante de referência "Trox ou equivalente". comprimento total = 5.000 mm com três vias.</v>
      </c>
      <c r="E67" s="507">
        <f>IFERROR(VLOOKUP(D67,Planilha!$B$10:$AC$943,4,FALSE),0)</f>
        <v>0</v>
      </c>
      <c r="F67" s="508">
        <f>IFERROR(VLOOKUP(E67,Planilha!$B$10:$AC$943,4,FALSE),0)</f>
        <v>0</v>
      </c>
      <c r="G67" s="75" t="str">
        <f>IFERROR(VLOOKUP(B67,Fontes!$A$9:$AC$6124,3,FALSE),0)</f>
        <v>un</v>
      </c>
      <c r="H67" s="75">
        <v>1</v>
      </c>
      <c r="I67" s="77">
        <v>3216</v>
      </c>
      <c r="J67" s="264">
        <v>2572</v>
      </c>
      <c r="K67" s="77">
        <v>4864.5767867981976</v>
      </c>
      <c r="L67" s="264">
        <v>3890.4513357104975</v>
      </c>
      <c r="M67" s="77"/>
      <c r="N67" s="264"/>
      <c r="O67" s="78">
        <f t="shared" si="2"/>
        <v>4040.2883933990988</v>
      </c>
      <c r="P67" s="78">
        <f t="shared" si="3"/>
        <v>3231.2256678552485</v>
      </c>
      <c r="S67" s="18"/>
      <c r="T67" s="18"/>
      <c r="W67" s="53"/>
      <c r="X67" s="53"/>
    </row>
    <row r="68" spans="2:24" ht="24.95" customHeight="1" x14ac:dyDescent="0.2">
      <c r="B68" s="83" t="s">
        <v>1521</v>
      </c>
      <c r="C68" s="74">
        <v>46</v>
      </c>
      <c r="D68" s="506" t="str">
        <f>IFERROR(VLOOKUP(B68,Fontes!$A$9:$AC$6124,2,FALSE),0)</f>
        <v>Difusor linear para insuflamento de ar.  modelo de referência: ALS-DS fabricante de referência "Trox ou equivalente". comprimento total = 6.000 mm com três vias.</v>
      </c>
      <c r="E68" s="507">
        <f>IFERROR(VLOOKUP(D68,Planilha!$B$10:$AC$943,4,FALSE),0)</f>
        <v>0</v>
      </c>
      <c r="F68" s="508">
        <f>IFERROR(VLOOKUP(E68,Planilha!$B$10:$AC$943,4,FALSE),0)</f>
        <v>0</v>
      </c>
      <c r="G68" s="75" t="str">
        <f>IFERROR(VLOOKUP(B68,Fontes!$A$9:$AC$6124,3,FALSE),0)</f>
        <v>un</v>
      </c>
      <c r="H68" s="75">
        <v>1</v>
      </c>
      <c r="I68" s="77">
        <v>3860</v>
      </c>
      <c r="J68" s="264">
        <v>3100</v>
      </c>
      <c r="K68" s="77">
        <v>5838.7022378858956</v>
      </c>
      <c r="L68" s="264">
        <v>4689.1131962296049</v>
      </c>
      <c r="M68" s="77"/>
      <c r="N68" s="264"/>
      <c r="O68" s="78">
        <f t="shared" si="2"/>
        <v>4849.3511189429482</v>
      </c>
      <c r="P68" s="78">
        <f t="shared" si="3"/>
        <v>3894.5565981148025</v>
      </c>
      <c r="S68" s="18"/>
      <c r="T68" s="18"/>
      <c r="W68" s="53"/>
      <c r="X68" s="53"/>
    </row>
    <row r="69" spans="2:24" ht="24.95" customHeight="1" x14ac:dyDescent="0.2">
      <c r="B69" s="83" t="s">
        <v>1522</v>
      </c>
      <c r="C69" s="74">
        <v>47</v>
      </c>
      <c r="D69" s="506" t="str">
        <f>IFERROR(VLOOKUP(B69,Fontes!$A$9:$AC$6124,2,FALSE),0)</f>
        <v>Difusor linear para insuflamento de ar.  modelo de referência: ALS-DS fabricante de referência "Trox ou equivalente". comprimento total = 7.000 mm com três vias.</v>
      </c>
      <c r="E69" s="507">
        <f>IFERROR(VLOOKUP(D69,Planilha!$B$10:$AC$943,4,FALSE),0)</f>
        <v>0</v>
      </c>
      <c r="F69" s="508">
        <f>IFERROR(VLOOKUP(E69,Planilha!$B$10:$AC$943,4,FALSE),0)</f>
        <v>0</v>
      </c>
      <c r="G69" s="75" t="str">
        <f>IFERROR(VLOOKUP(B69,Fontes!$A$9:$AC$6124,3,FALSE),0)</f>
        <v>un</v>
      </c>
      <c r="H69" s="75">
        <v>1</v>
      </c>
      <c r="I69" s="77">
        <v>4500</v>
      </c>
      <c r="J69" s="264">
        <v>3600</v>
      </c>
      <c r="K69" s="77">
        <v>6806.777220333297</v>
      </c>
      <c r="L69" s="264">
        <v>5445.4217762666376</v>
      </c>
      <c r="M69" s="77"/>
      <c r="N69" s="264"/>
      <c r="O69" s="78">
        <f t="shared" si="2"/>
        <v>5653.3886101666485</v>
      </c>
      <c r="P69" s="78">
        <f t="shared" si="3"/>
        <v>4522.7108881333188</v>
      </c>
      <c r="S69" s="18"/>
      <c r="T69" s="18"/>
      <c r="W69" s="53"/>
      <c r="X69" s="53"/>
    </row>
    <row r="70" spans="2:24" ht="24.95" customHeight="1" x14ac:dyDescent="0.2">
      <c r="B70" s="83" t="s">
        <v>1523</v>
      </c>
      <c r="C70" s="74">
        <v>48</v>
      </c>
      <c r="D70" s="506" t="str">
        <f>IFERROR(VLOOKUP(B70,Fontes!$A$9:$AC$6124,2,FALSE),0)</f>
        <v>Difusor linear para insuflamento de ar.  modelo de referência: ALS-DS fabricante de referência "Trox ou equivalente". comprimento total = 7.300 mm com três vias.</v>
      </c>
      <c r="E70" s="507">
        <f>IFERROR(VLOOKUP(D70,Planilha!$B$10:$AC$943,4,FALSE),0)</f>
        <v>0</v>
      </c>
      <c r="F70" s="508">
        <f>IFERROR(VLOOKUP(E70,Planilha!$B$10:$AC$943,4,FALSE),0)</f>
        <v>0</v>
      </c>
      <c r="G70" s="75" t="str">
        <f>IFERROR(VLOOKUP(B70,Fontes!$A$9:$AC$6124,3,FALSE),0)</f>
        <v>un</v>
      </c>
      <c r="H70" s="75">
        <v>1</v>
      </c>
      <c r="I70" s="77">
        <v>4693</v>
      </c>
      <c r="J70" s="264">
        <v>3754</v>
      </c>
      <c r="K70" s="77">
        <v>7098.7123322275929</v>
      </c>
      <c r="L70" s="264">
        <v>5678.364818918044</v>
      </c>
      <c r="M70" s="77"/>
      <c r="N70" s="264"/>
      <c r="O70" s="78">
        <f t="shared" si="2"/>
        <v>5895.8561661137965</v>
      </c>
      <c r="P70" s="78">
        <f t="shared" si="3"/>
        <v>4716.182409459022</v>
      </c>
      <c r="S70" s="18"/>
      <c r="T70" s="18"/>
      <c r="W70" s="53"/>
      <c r="X70" s="53"/>
    </row>
    <row r="71" spans="2:24" ht="24.95" customHeight="1" x14ac:dyDescent="0.2">
      <c r="B71" s="83" t="s">
        <v>1524</v>
      </c>
      <c r="C71" s="74">
        <v>49</v>
      </c>
      <c r="D71" s="506" t="str">
        <f>IFERROR(VLOOKUP(B71,Fontes!$A$9:$AC$6124,2,FALSE),0)</f>
        <v>Difusor linear para insuflamento de ar.  modelo de referência: ALS-DS fabricante de referência "Trox ou equivalente". comprimento total = 11.000 mm com três vias.</v>
      </c>
      <c r="E71" s="507">
        <f>IFERROR(VLOOKUP(D71,Planilha!$B$10:$AC$943,4,FALSE),0)</f>
        <v>0</v>
      </c>
      <c r="F71" s="508">
        <f>IFERROR(VLOOKUP(E71,Planilha!$B$10:$AC$943,4,FALSE),0)</f>
        <v>0</v>
      </c>
      <c r="G71" s="75" t="str">
        <f>IFERROR(VLOOKUP(B71,Fontes!$A$9:$AC$6124,3,FALSE),0)</f>
        <v>un</v>
      </c>
      <c r="H71" s="75">
        <v>1</v>
      </c>
      <c r="I71" s="77">
        <v>7076</v>
      </c>
      <c r="J71" s="264">
        <v>5660</v>
      </c>
      <c r="K71" s="77">
        <v>10703.279024684092</v>
      </c>
      <c r="L71" s="264">
        <v>8561.4131260192135</v>
      </c>
      <c r="M71" s="77"/>
      <c r="N71" s="264"/>
      <c r="O71" s="78">
        <f t="shared" si="2"/>
        <v>8889.6395123420461</v>
      </c>
      <c r="P71" s="78">
        <f t="shared" si="3"/>
        <v>7110.7065630096067</v>
      </c>
      <c r="S71" s="18"/>
      <c r="T71" s="18"/>
      <c r="W71" s="53"/>
      <c r="X71" s="53"/>
    </row>
    <row r="72" spans="2:24" ht="24.95" customHeight="1" x14ac:dyDescent="0.2">
      <c r="B72" s="83" t="s">
        <v>1525</v>
      </c>
      <c r="C72" s="74">
        <v>50</v>
      </c>
      <c r="D72" s="506" t="str">
        <f>IFERROR(VLOOKUP(B72,Fontes!$A$9:$AC$6124,2,FALSE),0)</f>
        <v>Difusor linear para insuflamento de ar.  modelo de referência: ALS-DS fabricante de referência "Trox ou equivalente". comprimento total = 13.600 mm com uma vias.</v>
      </c>
      <c r="E72" s="507">
        <f>IFERROR(VLOOKUP(D72,Planilha!$B$10:$AC$943,4,FALSE),0)</f>
        <v>0</v>
      </c>
      <c r="F72" s="508">
        <f>IFERROR(VLOOKUP(E72,Planilha!$B$10:$AC$943,4,FALSE),0)</f>
        <v>0</v>
      </c>
      <c r="G72" s="75" t="str">
        <f>IFERROR(VLOOKUP(B72,Fontes!$A$9:$AC$6124,3,FALSE),0)</f>
        <v>un</v>
      </c>
      <c r="H72" s="75">
        <v>1</v>
      </c>
      <c r="I72" s="77">
        <v>5707</v>
      </c>
      <c r="J72" s="264">
        <v>4565</v>
      </c>
      <c r="K72" s="77">
        <v>8632.5061325426959</v>
      </c>
      <c r="L72" s="264">
        <v>6905.0973357381108</v>
      </c>
      <c r="M72" s="77"/>
      <c r="N72" s="264"/>
      <c r="O72" s="78">
        <f t="shared" si="2"/>
        <v>7169.753066271348</v>
      </c>
      <c r="P72" s="78">
        <f t="shared" si="3"/>
        <v>5735.0486678690559</v>
      </c>
      <c r="S72" s="18"/>
      <c r="T72" s="18"/>
      <c r="W72" s="53"/>
      <c r="X72" s="53"/>
    </row>
    <row r="73" spans="2:24" ht="24.95" customHeight="1" x14ac:dyDescent="0.2">
      <c r="B73" s="83" t="s">
        <v>1526</v>
      </c>
      <c r="C73" s="74">
        <v>51</v>
      </c>
      <c r="D73" s="506" t="str">
        <f>IFERROR(VLOOKUP(B73,Fontes!$A$9:$AC$6124,2,FALSE),0)</f>
        <v>Duto em chapa de aço galvanizada # 22 para ar condicionado. inclusive suportes e fixações em dutos.</v>
      </c>
      <c r="E73" s="507">
        <f>IFERROR(VLOOKUP(D73,Planilha!$B$10:$AC$943,4,FALSE),0)</f>
        <v>0</v>
      </c>
      <c r="F73" s="508">
        <f>IFERROR(VLOOKUP(E73,Planilha!$B$10:$AC$943,4,FALSE),0)</f>
        <v>0</v>
      </c>
      <c r="G73" s="75" t="str">
        <f>IFERROR(VLOOKUP(B73,Fontes!$A$9:$AC$6124,3,FALSE),0)</f>
        <v>kg</v>
      </c>
      <c r="H73" s="75">
        <v>1</v>
      </c>
      <c r="I73" s="77">
        <v>22</v>
      </c>
      <c r="J73" s="264">
        <v>20</v>
      </c>
      <c r="K73" s="77">
        <v>33.27757752162946</v>
      </c>
      <c r="L73" s="264">
        <v>30.252343201481324</v>
      </c>
      <c r="M73" s="77"/>
      <c r="N73" s="264"/>
      <c r="O73" s="78">
        <f t="shared" si="2"/>
        <v>27.63878876081473</v>
      </c>
      <c r="P73" s="78">
        <f t="shared" si="3"/>
        <v>25.126171600740662</v>
      </c>
      <c r="S73" s="18"/>
      <c r="T73" s="18"/>
      <c r="W73" s="53"/>
      <c r="X73" s="53"/>
    </row>
    <row r="74" spans="2:24" ht="24.95" customHeight="1" x14ac:dyDescent="0.2">
      <c r="B74" s="83" t="s">
        <v>1527</v>
      </c>
      <c r="C74" s="74">
        <v>52</v>
      </c>
      <c r="D74" s="506" t="str">
        <f>IFERROR(VLOOKUP(B74,Fontes!$A$9:$AC$6124,2,FALSE),0)</f>
        <v>Duto em chapa de aço galvanizada # 24 para ar condicionado. inclusive suportes e fixações em dutos.</v>
      </c>
      <c r="E74" s="507">
        <f>IFERROR(VLOOKUP(D74,Planilha!$B$10:$AC$943,4,FALSE),0)</f>
        <v>0</v>
      </c>
      <c r="F74" s="508">
        <f>IFERROR(VLOOKUP(E74,Planilha!$B$10:$AC$943,4,FALSE),0)</f>
        <v>0</v>
      </c>
      <c r="G74" s="75" t="str">
        <f>IFERROR(VLOOKUP(B74,Fontes!$A$9:$AC$6124,3,FALSE),0)</f>
        <v>kg</v>
      </c>
      <c r="H74" s="75">
        <v>1</v>
      </c>
      <c r="I74" s="77">
        <v>22</v>
      </c>
      <c r="J74" s="264">
        <v>20</v>
      </c>
      <c r="K74" s="77">
        <v>33.277577521629453</v>
      </c>
      <c r="L74" s="264">
        <v>30.25234320148132</v>
      </c>
      <c r="M74" s="77"/>
      <c r="N74" s="264"/>
      <c r="O74" s="78">
        <f t="shared" si="2"/>
        <v>27.638788760814727</v>
      </c>
      <c r="P74" s="78">
        <f t="shared" si="3"/>
        <v>25.126171600740662</v>
      </c>
      <c r="S74" s="18"/>
      <c r="T74" s="18"/>
      <c r="W74" s="53"/>
      <c r="X74" s="53"/>
    </row>
    <row r="75" spans="2:24" ht="24.95" customHeight="1" x14ac:dyDescent="0.2">
      <c r="B75" s="83" t="s">
        <v>1528</v>
      </c>
      <c r="C75" s="74">
        <v>53</v>
      </c>
      <c r="D75" s="506" t="str">
        <f>IFERROR(VLOOKUP(B75,Fontes!$A$9:$AC$6124,2,FALSE),0)</f>
        <v>Duto em chapa de aço galvanizada # 26 para ar condicionado. inclusive suportes e fixações em dutos.</v>
      </c>
      <c r="E75" s="507">
        <f>IFERROR(VLOOKUP(D75,Planilha!$B$10:$AC$943,4,FALSE),0)</f>
        <v>0</v>
      </c>
      <c r="F75" s="508">
        <f>IFERROR(VLOOKUP(E75,Planilha!$B$10:$AC$943,4,FALSE),0)</f>
        <v>0</v>
      </c>
      <c r="G75" s="75" t="str">
        <f>IFERROR(VLOOKUP(B75,Fontes!$A$9:$AC$6124,3,FALSE),0)</f>
        <v>kg</v>
      </c>
      <c r="H75" s="75">
        <v>1</v>
      </c>
      <c r="I75" s="77">
        <v>22</v>
      </c>
      <c r="J75" s="264">
        <v>20</v>
      </c>
      <c r="K75" s="77">
        <v>33.27757752162946</v>
      </c>
      <c r="L75" s="264">
        <v>30.25234320148132</v>
      </c>
      <c r="M75" s="77"/>
      <c r="N75" s="264"/>
      <c r="O75" s="78">
        <f t="shared" si="2"/>
        <v>27.63878876081473</v>
      </c>
      <c r="P75" s="78">
        <f t="shared" si="3"/>
        <v>25.126171600740662</v>
      </c>
      <c r="S75" s="18"/>
      <c r="T75" s="18"/>
      <c r="W75" s="53"/>
      <c r="X75" s="53"/>
    </row>
    <row r="76" spans="2:24" ht="20.100000000000001" customHeight="1" x14ac:dyDescent="0.2">
      <c r="B76" s="83" t="s">
        <v>1529</v>
      </c>
      <c r="C76" s="74">
        <v>54</v>
      </c>
      <c r="D76" s="506" t="str">
        <f>IFERROR(VLOOKUP(B76,Fontes!$A$9:$AC$6124,2,FALSE),0)</f>
        <v>Manta de lã de vidro</v>
      </c>
      <c r="E76" s="507">
        <f>IFERROR(VLOOKUP(D76,Planilha!$B$10:$AC$943,4,FALSE),0)</f>
        <v>0</v>
      </c>
      <c r="F76" s="508">
        <f>IFERROR(VLOOKUP(E76,Planilha!$B$10:$AC$943,4,FALSE),0)</f>
        <v>0</v>
      </c>
      <c r="G76" s="75" t="str">
        <f>IFERROR(VLOOKUP(B76,Fontes!$A$9:$AC$6124,3,FALSE),0)</f>
        <v>m2</v>
      </c>
      <c r="H76" s="75">
        <v>1</v>
      </c>
      <c r="I76" s="77">
        <v>18</v>
      </c>
      <c r="J76" s="264">
        <v>15</v>
      </c>
      <c r="K76" s="77">
        <v>27.227108881333187</v>
      </c>
      <c r="L76" s="264">
        <v>22.689257401110993</v>
      </c>
      <c r="M76" s="77"/>
      <c r="N76" s="264"/>
      <c r="O76" s="78">
        <f t="shared" si="2"/>
        <v>22.613554440666594</v>
      </c>
      <c r="P76" s="78">
        <f t="shared" si="3"/>
        <v>18.844628700555496</v>
      </c>
      <c r="S76" s="18"/>
      <c r="T76" s="18"/>
      <c r="W76" s="53"/>
      <c r="X76" s="53"/>
    </row>
    <row r="77" spans="2:24" ht="20.100000000000001" customHeight="1" x14ac:dyDescent="0.2">
      <c r="B77" s="83" t="s">
        <v>1530</v>
      </c>
      <c r="C77" s="74">
        <v>55</v>
      </c>
      <c r="D77" s="506" t="str">
        <f>IFERROR(VLOOKUP(B77,Fontes!$A$9:$AC$6124,2,FALSE),0)</f>
        <v>Suportes, fitas, e acessórios</v>
      </c>
      <c r="E77" s="507">
        <f>IFERROR(VLOOKUP(D77,Planilha!$B$10:$AC$943,4,FALSE),0)</f>
        <v>0</v>
      </c>
      <c r="F77" s="508">
        <f>IFERROR(VLOOKUP(E77,Planilha!$B$10:$AC$943,4,FALSE),0)</f>
        <v>0</v>
      </c>
      <c r="G77" s="75" t="str">
        <f>IFERROR(VLOOKUP(B77,Fontes!$A$9:$AC$6124,3,FALSE),0)</f>
        <v>sv</v>
      </c>
      <c r="H77" s="75">
        <v>1</v>
      </c>
      <c r="I77" s="77">
        <v>7250</v>
      </c>
      <c r="J77" s="264">
        <v>5800</v>
      </c>
      <c r="K77" s="77">
        <v>10966.474410536981</v>
      </c>
      <c r="L77" s="264">
        <v>8773.179528429584</v>
      </c>
      <c r="M77" s="77"/>
      <c r="N77" s="264"/>
      <c r="O77" s="78">
        <f t="shared" si="2"/>
        <v>9108.2372052684914</v>
      </c>
      <c r="P77" s="78">
        <f t="shared" si="3"/>
        <v>7286.589764214792</v>
      </c>
      <c r="S77" s="18"/>
      <c r="T77" s="18"/>
      <c r="W77" s="53"/>
      <c r="X77" s="53"/>
    </row>
    <row r="78" spans="2:24" ht="24.95" customHeight="1" x14ac:dyDescent="0.2">
      <c r="B78" s="83" t="s">
        <v>1531</v>
      </c>
      <c r="C78" s="74">
        <v>56</v>
      </c>
      <c r="D78" s="506" t="str">
        <f>IFERROR(VLOOKUP(B78,Fontes!$A$9:$AC$6124,2,FALSE),0)</f>
        <v>Unidade evaporadora tipo hi-wall para sistema VRV 24.200 btus  - tensão 220 v - gás refrigerante R-410A (ref.: FXAQ63AVM - Daikin ou equivalente)</v>
      </c>
      <c r="E78" s="507">
        <f>IFERROR(VLOOKUP(D78,Planilha!$B$10:$AC$943,4,FALSE),0)</f>
        <v>0</v>
      </c>
      <c r="F78" s="508">
        <f>IFERROR(VLOOKUP(E78,Planilha!$B$10:$AC$943,4,FALSE),0)</f>
        <v>0</v>
      </c>
      <c r="G78" s="75" t="str">
        <f>IFERROR(VLOOKUP(B78,Fontes!$A$9:$AC$6124,3,FALSE),0)</f>
        <v>un</v>
      </c>
      <c r="H78" s="75">
        <v>1</v>
      </c>
      <c r="I78" s="77">
        <v>4100</v>
      </c>
      <c r="J78" s="264">
        <v>1050</v>
      </c>
      <c r="K78" s="77">
        <v>6201.7303563036712</v>
      </c>
      <c r="L78" s="264">
        <v>1588.2480180777693</v>
      </c>
      <c r="M78" s="77"/>
      <c r="N78" s="264"/>
      <c r="O78" s="78">
        <f t="shared" si="2"/>
        <v>5150.8651781518356</v>
      </c>
      <c r="P78" s="78">
        <f t="shared" si="3"/>
        <v>1319.1240090388847</v>
      </c>
      <c r="S78" s="18"/>
      <c r="T78" s="18"/>
      <c r="W78" s="53"/>
      <c r="X78" s="53"/>
    </row>
    <row r="79" spans="2:24" ht="24.95" customHeight="1" x14ac:dyDescent="0.2">
      <c r="B79" s="83" t="s">
        <v>1532</v>
      </c>
      <c r="C79" s="74">
        <v>57</v>
      </c>
      <c r="D79" s="506" t="str">
        <f>IFERROR(VLOOKUP(B79,Fontes!$A$9:$AC$6124,2,FALSE),0)</f>
        <v>Unidade evaporadora tipo cassete 4 vias para sistema VRV 24.200 btus  - tensão 220 v - gás refrigerante R-410A (ref.: FXFQ63AVM - Daikin ou equivalente)</v>
      </c>
      <c r="E79" s="507">
        <f>IFERROR(VLOOKUP(D79,Planilha!$B$10:$AC$943,4,FALSE),0)</f>
        <v>0</v>
      </c>
      <c r="F79" s="508">
        <f>IFERROR(VLOOKUP(E79,Planilha!$B$10:$AC$943,4,FALSE),0)</f>
        <v>0</v>
      </c>
      <c r="G79" s="75" t="str">
        <f>IFERROR(VLOOKUP(B79,Fontes!$A$9:$AC$6124,3,FALSE),0)</f>
        <v>un</v>
      </c>
      <c r="H79" s="75">
        <v>1</v>
      </c>
      <c r="I79" s="77">
        <v>5750</v>
      </c>
      <c r="J79" s="264">
        <v>1050</v>
      </c>
      <c r="K79" s="77">
        <v>8697.5486704258801</v>
      </c>
      <c r="L79" s="264">
        <v>1588.2480180777693</v>
      </c>
      <c r="M79" s="77"/>
      <c r="N79" s="264"/>
      <c r="O79" s="78">
        <f t="shared" si="2"/>
        <v>7223.7743352129401</v>
      </c>
      <c r="P79" s="78">
        <f t="shared" si="3"/>
        <v>1319.1240090388847</v>
      </c>
      <c r="S79" s="18"/>
      <c r="T79" s="18"/>
      <c r="W79" s="53"/>
      <c r="X79" s="53"/>
    </row>
    <row r="80" spans="2:24" ht="24.95" customHeight="1" x14ac:dyDescent="0.2">
      <c r="B80" s="83" t="s">
        <v>1533</v>
      </c>
      <c r="C80" s="74">
        <v>58</v>
      </c>
      <c r="D80" s="506" t="str">
        <f>IFERROR(VLOOKUP(B80,Fontes!$A$9:$AC$6124,2,FALSE),0)</f>
        <v>Unidade evaporadora tipo cassete 4 vias para sistema VRV 30.700 btus  - tensão 220 v - gás refrigerante R-410A (ref.: FXFQ80AVM - Daikin ou equivalente)</v>
      </c>
      <c r="E80" s="507">
        <f>IFERROR(VLOOKUP(D80,Planilha!$B$10:$AC$943,4,FALSE),0)</f>
        <v>0</v>
      </c>
      <c r="F80" s="508">
        <f>IFERROR(VLOOKUP(E80,Planilha!$B$10:$AC$943,4,FALSE),0)</f>
        <v>0</v>
      </c>
      <c r="G80" s="75" t="str">
        <f>IFERROR(VLOOKUP(B80,Fontes!$A$9:$AC$6124,3,FALSE),0)</f>
        <v>un</v>
      </c>
      <c r="H80" s="75">
        <v>1</v>
      </c>
      <c r="I80" s="77">
        <v>5970</v>
      </c>
      <c r="J80" s="264">
        <v>1050</v>
      </c>
      <c r="K80" s="77">
        <v>9030.3244456421744</v>
      </c>
      <c r="L80" s="264">
        <v>1588.2480180777693</v>
      </c>
      <c r="M80" s="77"/>
      <c r="N80" s="264"/>
      <c r="O80" s="78">
        <f t="shared" si="2"/>
        <v>7500.1622228210872</v>
      </c>
      <c r="P80" s="78">
        <f t="shared" si="3"/>
        <v>1319.1240090388847</v>
      </c>
      <c r="S80" s="18"/>
      <c r="T80" s="18"/>
      <c r="W80" s="53"/>
      <c r="X80" s="53"/>
    </row>
    <row r="81" spans="2:24" ht="24.95" customHeight="1" x14ac:dyDescent="0.2">
      <c r="B81" s="83" t="s">
        <v>1534</v>
      </c>
      <c r="C81" s="74">
        <v>59</v>
      </c>
      <c r="D81" s="506" t="str">
        <f>IFERROR(VLOOKUP(B81,Fontes!$A$9:$AC$6124,2,FALSE),0)</f>
        <v>Unidade evaporadora tipo cassete 4 vias para sistema VRV 38.200 btus  - tensão 220 v - gás refrigerante R-410A (ref.: FXFQ100AVM - Daikin ou equivalente)</v>
      </c>
      <c r="E81" s="507">
        <f>IFERROR(VLOOKUP(D81,Planilha!$B$10:$AC$943,4,FALSE),0)</f>
        <v>0</v>
      </c>
      <c r="F81" s="508">
        <f>IFERROR(VLOOKUP(E81,Planilha!$B$10:$AC$943,4,FALSE),0)</f>
        <v>0</v>
      </c>
      <c r="G81" s="75" t="str">
        <f>IFERROR(VLOOKUP(B81,Fontes!$A$9:$AC$6124,3,FALSE),0)</f>
        <v>un</v>
      </c>
      <c r="H81" s="75">
        <v>1</v>
      </c>
      <c r="I81" s="77">
        <v>6450</v>
      </c>
      <c r="J81" s="264">
        <v>1050</v>
      </c>
      <c r="K81" s="77">
        <v>9756.3806824777257</v>
      </c>
      <c r="L81" s="264">
        <v>1588.2480180777693</v>
      </c>
      <c r="M81" s="77"/>
      <c r="N81" s="264"/>
      <c r="O81" s="78">
        <f t="shared" si="2"/>
        <v>8103.1903412388629</v>
      </c>
      <c r="P81" s="78">
        <f t="shared" si="3"/>
        <v>1319.1240090388847</v>
      </c>
      <c r="S81" s="18"/>
      <c r="T81" s="18"/>
      <c r="W81" s="53"/>
      <c r="X81" s="53"/>
    </row>
    <row r="82" spans="2:24" ht="24.95" customHeight="1" x14ac:dyDescent="0.2">
      <c r="B82" s="83" t="s">
        <v>1535</v>
      </c>
      <c r="C82" s="74">
        <v>60</v>
      </c>
      <c r="D82" s="506" t="str">
        <f>IFERROR(VLOOKUP(B82,Fontes!$A$9:$AC$6124,2,FALSE),0)</f>
        <v>Unidade evaporadora tipo built-in dutado para sistema VRV 9.600 btus  - tensão 220 v - gás refrigerante R-410A (ref.: FXQ25PAVE- Daikin ou equivalente)</v>
      </c>
      <c r="E82" s="507">
        <f>IFERROR(VLOOKUP(D82,Planilha!$B$10:$AC$943,4,FALSE),0)</f>
        <v>0</v>
      </c>
      <c r="F82" s="508">
        <f>IFERROR(VLOOKUP(E82,Planilha!$B$10:$AC$943,4,FALSE),0)</f>
        <v>0</v>
      </c>
      <c r="G82" s="75" t="str">
        <f>IFERROR(VLOOKUP(B82,Fontes!$A$9:$AC$6124,3,FALSE),0)</f>
        <v>un</v>
      </c>
      <c r="H82" s="75">
        <v>1</v>
      </c>
      <c r="I82" s="77">
        <v>3440</v>
      </c>
      <c r="J82" s="264">
        <v>1050</v>
      </c>
      <c r="K82" s="77">
        <v>5203.4030306547875</v>
      </c>
      <c r="L82" s="264">
        <v>1588.2480180777693</v>
      </c>
      <c r="M82" s="77"/>
      <c r="N82" s="264"/>
      <c r="O82" s="78">
        <f t="shared" si="2"/>
        <v>4321.7015153273933</v>
      </c>
      <c r="P82" s="78">
        <f t="shared" si="3"/>
        <v>1319.1240090388847</v>
      </c>
      <c r="S82" s="18"/>
      <c r="T82" s="18"/>
      <c r="W82" s="53"/>
      <c r="X82" s="53"/>
    </row>
    <row r="83" spans="2:24" ht="24.95" customHeight="1" x14ac:dyDescent="0.2">
      <c r="B83" s="83" t="s">
        <v>1536</v>
      </c>
      <c r="C83" s="74">
        <v>61</v>
      </c>
      <c r="D83" s="506" t="str">
        <f>IFERROR(VLOOKUP(B83,Fontes!$A$9:$AC$6124,2,FALSE),0)</f>
        <v>Unidade evaporadora tipo built-in dutado para sistema VRV 12.300 btus  - tensão 220 v - gás refrigerante R-410A (ref.: FXQ32PAVE - Daikin ou equivalente)</v>
      </c>
      <c r="E83" s="507">
        <f>IFERROR(VLOOKUP(D83,Planilha!$B$10:$AC$943,4,FALSE),0)</f>
        <v>0</v>
      </c>
      <c r="F83" s="508">
        <f>IFERROR(VLOOKUP(E83,Planilha!$B$10:$AC$943,4,FALSE),0)</f>
        <v>0</v>
      </c>
      <c r="G83" s="75" t="str">
        <f>IFERROR(VLOOKUP(B83,Fontes!$A$9:$AC$6124,3,FALSE),0)</f>
        <v>un</v>
      </c>
      <c r="H83" s="75">
        <v>1</v>
      </c>
      <c r="I83" s="77">
        <v>3520</v>
      </c>
      <c r="J83" s="264">
        <v>1050</v>
      </c>
      <c r="K83" s="77">
        <v>5324.412403460713</v>
      </c>
      <c r="L83" s="264">
        <v>1588.2480180777693</v>
      </c>
      <c r="M83" s="77"/>
      <c r="N83" s="264"/>
      <c r="O83" s="78">
        <f t="shared" si="2"/>
        <v>4422.206201730356</v>
      </c>
      <c r="P83" s="78">
        <f t="shared" si="3"/>
        <v>1319.1240090388847</v>
      </c>
      <c r="S83" s="18"/>
      <c r="T83" s="18"/>
      <c r="W83" s="53"/>
      <c r="X83" s="53"/>
    </row>
    <row r="84" spans="2:24" ht="24.95" customHeight="1" x14ac:dyDescent="0.2">
      <c r="B84" s="83" t="s">
        <v>1537</v>
      </c>
      <c r="C84" s="74">
        <v>62</v>
      </c>
      <c r="D84" s="506" t="str">
        <f>IFERROR(VLOOKUP(B84,Fontes!$A$9:$AC$6124,2,FALSE),0)</f>
        <v>Unidade evaporadora tipo built-in dutado para sistema VRV 15.400  btus  - tensão 220 v - gás refrigerante R-410A (ref.: FXQ40PAVE - Daikin ou equivalente)</v>
      </c>
      <c r="E84" s="507">
        <f>IFERROR(VLOOKUP(D84,Planilha!$B$10:$AC$943,4,FALSE),0)</f>
        <v>0</v>
      </c>
      <c r="F84" s="508">
        <f>IFERROR(VLOOKUP(E84,Planilha!$B$10:$AC$943,4,FALSE),0)</f>
        <v>0</v>
      </c>
      <c r="G84" s="75" t="str">
        <f>IFERROR(VLOOKUP(B84,Fontes!$A$9:$AC$6124,3,FALSE),0)</f>
        <v>un</v>
      </c>
      <c r="H84" s="75">
        <v>1</v>
      </c>
      <c r="I84" s="77">
        <v>4200</v>
      </c>
      <c r="J84" s="264">
        <v>1050</v>
      </c>
      <c r="K84" s="77">
        <v>6352.9920723110781</v>
      </c>
      <c r="L84" s="264">
        <v>1588.2480180777693</v>
      </c>
      <c r="M84" s="77"/>
      <c r="N84" s="264"/>
      <c r="O84" s="78">
        <f t="shared" si="2"/>
        <v>5276.4960361555386</v>
      </c>
      <c r="P84" s="78">
        <f t="shared" si="3"/>
        <v>1319.1240090388847</v>
      </c>
      <c r="S84" s="18"/>
      <c r="T84" s="18"/>
      <c r="W84" s="53"/>
      <c r="X84" s="53"/>
    </row>
    <row r="85" spans="2:24" ht="24.95" customHeight="1" x14ac:dyDescent="0.2">
      <c r="B85" s="83" t="s">
        <v>1538</v>
      </c>
      <c r="C85" s="74">
        <v>63</v>
      </c>
      <c r="D85" s="506" t="str">
        <f>IFERROR(VLOOKUP(B85,Fontes!$A$9:$AC$6124,2,FALSE),0)</f>
        <v>Unidade evaporadora tipo built-in dutado para sistema VRV 19.100  btus  - tensão 220 v - gás refrigerante R-410A (ref.: FXQ50PAVE - Daikin ou equivalente)</v>
      </c>
      <c r="E85" s="507">
        <f>IFERROR(VLOOKUP(D85,Planilha!$B$10:$AC$943,4,FALSE),0)</f>
        <v>0</v>
      </c>
      <c r="F85" s="508">
        <f>IFERROR(VLOOKUP(E85,Planilha!$B$10:$AC$943,4,FALSE),0)</f>
        <v>0</v>
      </c>
      <c r="G85" s="75" t="str">
        <f>IFERROR(VLOOKUP(B85,Fontes!$A$9:$AC$6124,3,FALSE),0)</f>
        <v>un</v>
      </c>
      <c r="H85" s="75">
        <v>1</v>
      </c>
      <c r="I85" s="77">
        <v>4310</v>
      </c>
      <c r="J85" s="264">
        <v>1050</v>
      </c>
      <c r="K85" s="77">
        <v>6519.3799599192253</v>
      </c>
      <c r="L85" s="264">
        <v>1588.2480180777693</v>
      </c>
      <c r="M85" s="77"/>
      <c r="N85" s="264"/>
      <c r="O85" s="78">
        <f t="shared" si="2"/>
        <v>5414.6899799596122</v>
      </c>
      <c r="P85" s="78">
        <f t="shared" si="3"/>
        <v>1319.1240090388847</v>
      </c>
      <c r="S85" s="18"/>
      <c r="T85" s="18"/>
      <c r="W85" s="53"/>
      <c r="X85" s="53"/>
    </row>
    <row r="86" spans="2:24" ht="24.95" customHeight="1" x14ac:dyDescent="0.2">
      <c r="B86" s="83" t="s">
        <v>1540</v>
      </c>
      <c r="C86" s="74">
        <v>64</v>
      </c>
      <c r="D86" s="506" t="str">
        <f>IFERROR(VLOOKUP(B86,Fontes!$A$9:$AC$6124,2,FALSE),0)</f>
        <v>Unidade evaporadora tipo built-in dutado para sistema VRV 24.200  btus  - tensão 220 v - gás refrigerante R-410A (ref.: FXQ63PAVE- Daikin ou equivalente)</v>
      </c>
      <c r="E86" s="507">
        <f>IFERROR(VLOOKUP(D86,Planilha!$B$10:$AC$943,4,FALSE),0)</f>
        <v>0</v>
      </c>
      <c r="F86" s="508">
        <f>IFERROR(VLOOKUP(E86,Planilha!$B$10:$AC$943,4,FALSE),0)</f>
        <v>0</v>
      </c>
      <c r="G86" s="75" t="str">
        <f>IFERROR(VLOOKUP(B86,Fontes!$A$9:$AC$6124,3,FALSE),0)</f>
        <v>un</v>
      </c>
      <c r="H86" s="75">
        <v>1</v>
      </c>
      <c r="I86" s="77">
        <v>4410</v>
      </c>
      <c r="J86" s="264">
        <v>1050</v>
      </c>
      <c r="K86" s="77">
        <v>6670.6416759266322</v>
      </c>
      <c r="L86" s="264">
        <v>1588.2480180777693</v>
      </c>
      <c r="M86" s="77"/>
      <c r="N86" s="264"/>
      <c r="O86" s="78">
        <f t="shared" si="2"/>
        <v>5540.3208379633161</v>
      </c>
      <c r="P86" s="78">
        <f t="shared" si="3"/>
        <v>1319.1240090388847</v>
      </c>
      <c r="S86" s="18"/>
      <c r="T86" s="18"/>
      <c r="W86" s="53"/>
      <c r="X86" s="53"/>
    </row>
    <row r="87" spans="2:24" ht="24.95" customHeight="1" x14ac:dyDescent="0.2">
      <c r="B87" s="83" t="s">
        <v>1541</v>
      </c>
      <c r="C87" s="74">
        <v>65</v>
      </c>
      <c r="D87" s="506" t="str">
        <f>IFERROR(VLOOKUP(B87,Fontes!$A$9:$AC$6124,2,FALSE),0)</f>
        <v>Unidade evaporadora tipo built-in dutado para sistema VRV 38.200  btus  - tensão 220 v - gás refrigerante R-410A (ref.: FXQ100PAVE - Daikin ou equivalente)</v>
      </c>
      <c r="E87" s="507">
        <f>IFERROR(VLOOKUP(D87,Planilha!$B$10:$AC$943,4,FALSE),0)</f>
        <v>0</v>
      </c>
      <c r="F87" s="508">
        <f>IFERROR(VLOOKUP(E87,Planilha!$B$10:$AC$943,4,FALSE),0)</f>
        <v>0</v>
      </c>
      <c r="G87" s="75" t="str">
        <f>IFERROR(VLOOKUP(B87,Fontes!$A$9:$AC$6124,3,FALSE),0)</f>
        <v>un</v>
      </c>
      <c r="H87" s="75">
        <v>1</v>
      </c>
      <c r="I87" s="77">
        <v>5110</v>
      </c>
      <c r="J87" s="264">
        <v>1050</v>
      </c>
      <c r="K87" s="77">
        <v>7729.4736879784778</v>
      </c>
      <c r="L87" s="264">
        <v>1588.2480180777693</v>
      </c>
      <c r="M87" s="77"/>
      <c r="N87" s="264"/>
      <c r="O87" s="78">
        <f t="shared" si="2"/>
        <v>6419.7368439892389</v>
      </c>
      <c r="P87" s="78">
        <f t="shared" si="3"/>
        <v>1319.1240090388847</v>
      </c>
      <c r="S87" s="18"/>
      <c r="T87" s="18"/>
      <c r="W87" s="53"/>
      <c r="X87" s="53"/>
    </row>
    <row r="88" spans="2:24" ht="24.95" customHeight="1" x14ac:dyDescent="0.2">
      <c r="B88" s="83" t="s">
        <v>1542</v>
      </c>
      <c r="C88" s="74">
        <v>66</v>
      </c>
      <c r="D88" s="506" t="str">
        <f>IFERROR(VLOOKUP(B88,Fontes!$A$9:$AC$6124,2,FALSE),0)</f>
        <v>Unidade evaporadora tipo built-in dutado para sistema VRV 47.800  btus  - tensão 220 v - gás refrigerante R-410A (ref.: FXQ125PAVE - Daikin ou equivalente)</v>
      </c>
      <c r="E88" s="507">
        <f>IFERROR(VLOOKUP(D88,Planilha!$B$10:$AC$943,4,FALSE),0)</f>
        <v>0</v>
      </c>
      <c r="F88" s="508">
        <f>IFERROR(VLOOKUP(E88,Planilha!$B$10:$AC$943,4,FALSE),0)</f>
        <v>0</v>
      </c>
      <c r="G88" s="75" t="str">
        <f>IFERROR(VLOOKUP(B88,Fontes!$A$9:$AC$6124,3,FALSE),0)</f>
        <v>un</v>
      </c>
      <c r="H88" s="75">
        <v>1</v>
      </c>
      <c r="I88" s="77">
        <v>5250</v>
      </c>
      <c r="J88" s="264">
        <v>1050</v>
      </c>
      <c r="K88" s="77">
        <v>7941.2400903888474</v>
      </c>
      <c r="L88" s="264">
        <v>1588.2480180777693</v>
      </c>
      <c r="M88" s="77"/>
      <c r="N88" s="264"/>
      <c r="O88" s="78">
        <f t="shared" si="2"/>
        <v>6595.6200451944242</v>
      </c>
      <c r="P88" s="78">
        <f t="shared" si="3"/>
        <v>1319.1240090388847</v>
      </c>
      <c r="S88" s="18"/>
      <c r="T88" s="18"/>
      <c r="W88" s="53"/>
      <c r="X88" s="53"/>
    </row>
    <row r="89" spans="2:24" ht="24.95" customHeight="1" x14ac:dyDescent="0.2">
      <c r="B89" s="83" t="s">
        <v>1543</v>
      </c>
      <c r="C89" s="74">
        <v>67</v>
      </c>
      <c r="D89" s="506" t="str">
        <f>IFERROR(VLOOKUP(B89,Fontes!$A$9:$AC$6124,2,FALSE),0)</f>
        <v>Unidade evaporadora tipo built-in dutado de alta pressão para sistema VRV 76.400  btus  - tensão 220 v - gás refrigerante R-410A (ref.: FXMQ200PVM - Daikin ou equivalente)</v>
      </c>
      <c r="E89" s="507">
        <f>IFERROR(VLOOKUP(D89,Planilha!$B$10:$AC$943,4,FALSE),0)</f>
        <v>0</v>
      </c>
      <c r="F89" s="508">
        <f>IFERROR(VLOOKUP(E89,Planilha!$B$10:$AC$943,4,FALSE),0)</f>
        <v>0</v>
      </c>
      <c r="G89" s="75" t="str">
        <f>IFERROR(VLOOKUP(B89,Fontes!$A$9:$AC$6124,3,FALSE),0)</f>
        <v>un</v>
      </c>
      <c r="H89" s="75">
        <v>1</v>
      </c>
      <c r="I89" s="77">
        <v>10720</v>
      </c>
      <c r="J89" s="264">
        <v>1050</v>
      </c>
      <c r="K89" s="77">
        <v>16215.255955993991</v>
      </c>
      <c r="L89" s="264">
        <v>1588.2480180777693</v>
      </c>
      <c r="M89" s="77"/>
      <c r="N89" s="264"/>
      <c r="O89" s="78">
        <f t="shared" si="2"/>
        <v>13467.627977996995</v>
      </c>
      <c r="P89" s="78">
        <f t="shared" si="3"/>
        <v>1319.1240090388847</v>
      </c>
      <c r="S89" s="18"/>
      <c r="T89" s="18"/>
      <c r="W89" s="53"/>
      <c r="X89" s="53"/>
    </row>
    <row r="90" spans="2:24" ht="24.95" customHeight="1" x14ac:dyDescent="0.2">
      <c r="B90" s="83" t="s">
        <v>1544</v>
      </c>
      <c r="C90" s="74">
        <v>68</v>
      </c>
      <c r="D90" s="506" t="str">
        <f>IFERROR(VLOOKUP(B90,Fontes!$A$9:$AC$6124,2,FALSE),0)</f>
        <v>Unidade evaporadora para refrigeração de ar externo com capacidade de 7,5 tr  -  tensão 220 v/3f - gás refrigerante R-410A (ref.: AHUQV250ATL - Daikin ou equivalente)</v>
      </c>
      <c r="E90" s="507">
        <f>IFERROR(VLOOKUP(D90,Planilha!$B$10:$AC$943,4,FALSE),0)</f>
        <v>0</v>
      </c>
      <c r="F90" s="508">
        <f>IFERROR(VLOOKUP(E90,Planilha!$B$10:$AC$943,4,FALSE),0)</f>
        <v>0</v>
      </c>
      <c r="G90" s="75" t="str">
        <f>IFERROR(VLOOKUP(B90,Fontes!$A$9:$AC$6124,3,FALSE),0)</f>
        <v>un</v>
      </c>
      <c r="H90" s="75">
        <v>1</v>
      </c>
      <c r="I90" s="77">
        <v>18458</v>
      </c>
      <c r="J90" s="264">
        <v>1050</v>
      </c>
      <c r="K90" s="77">
        <v>27919.887540647112</v>
      </c>
      <c r="L90" s="264">
        <v>1588.2480180777693</v>
      </c>
      <c r="M90" s="77"/>
      <c r="N90" s="264"/>
      <c r="O90" s="78">
        <f t="shared" si="2"/>
        <v>23188.943770323556</v>
      </c>
      <c r="P90" s="78">
        <f t="shared" si="3"/>
        <v>1319.1240090388847</v>
      </c>
      <c r="S90" s="18"/>
      <c r="T90" s="18"/>
      <c r="W90" s="53"/>
      <c r="X90" s="53"/>
    </row>
    <row r="91" spans="2:24" ht="24.95" customHeight="1" x14ac:dyDescent="0.2">
      <c r="B91" s="83" t="s">
        <v>1545</v>
      </c>
      <c r="C91" s="74">
        <v>69</v>
      </c>
      <c r="D91" s="506" t="str">
        <f>IFERROR(VLOOKUP(B91,Fontes!$A$9:$AC$6124,2,FALSE),0)</f>
        <v>Unidade evaporadora para refrigeração de ar externo com capacidade de 10 tr  -  tensão 220 v/3f - gás refrigerante R-410A (ref.: AHUQV300ATL - Daikin ou equivalente)</v>
      </c>
      <c r="E91" s="507">
        <f>IFERROR(VLOOKUP(D91,Planilha!$B$10:$AC$943,4,FALSE),0)</f>
        <v>0</v>
      </c>
      <c r="F91" s="508">
        <f>IFERROR(VLOOKUP(E91,Planilha!$B$10:$AC$943,4,FALSE),0)</f>
        <v>0</v>
      </c>
      <c r="G91" s="75" t="str">
        <f>IFERROR(VLOOKUP(B91,Fontes!$A$9:$AC$6124,3,FALSE),0)</f>
        <v>un</v>
      </c>
      <c r="H91" s="75">
        <v>1</v>
      </c>
      <c r="I91" s="77">
        <v>21000</v>
      </c>
      <c r="J91" s="264">
        <v>1050</v>
      </c>
      <c r="K91" s="77">
        <v>31764.96036155539</v>
      </c>
      <c r="L91" s="264">
        <v>1588.2480180777693</v>
      </c>
      <c r="M91" s="77"/>
      <c r="N91" s="264"/>
      <c r="O91" s="78">
        <f t="shared" si="2"/>
        <v>26382.480180777697</v>
      </c>
      <c r="P91" s="78">
        <f t="shared" si="3"/>
        <v>1319.1240090388847</v>
      </c>
      <c r="S91" s="18"/>
      <c r="T91" s="18"/>
      <c r="W91" s="53"/>
      <c r="X91" s="53"/>
    </row>
    <row r="92" spans="2:24" ht="39.950000000000003" customHeight="1" x14ac:dyDescent="0.2">
      <c r="B92" s="83" t="s">
        <v>1546</v>
      </c>
      <c r="C92" s="74">
        <v>70</v>
      </c>
      <c r="D92" s="506" t="str">
        <f>IFERROR(VLOOKUP(B92,Fontes!$A$9:$AC$6124,2,FALSE),0)</f>
        <v>Unidade condensadora do sistema de expansão direta, tipo VRV condensador axial com descarga para cima, capacidade térmica de 95.500 btu/h  -  tensão 220 v - gás refrigerante R-410A (ref.: RHXYQ10ATL - Daikin ou equivalente)</v>
      </c>
      <c r="E92" s="507">
        <f>IFERROR(VLOOKUP(D92,Planilha!$B$10:$AC$943,4,FALSE),0)</f>
        <v>0</v>
      </c>
      <c r="F92" s="508">
        <f>IFERROR(VLOOKUP(E92,Planilha!$B$10:$AC$943,4,FALSE),0)</f>
        <v>0</v>
      </c>
      <c r="G92" s="75" t="str">
        <f>IFERROR(VLOOKUP(B92,Fontes!$A$9:$AC$6124,3,FALSE),0)</f>
        <v>un</v>
      </c>
      <c r="H92" s="75">
        <v>1</v>
      </c>
      <c r="I92" s="77">
        <v>31250</v>
      </c>
      <c r="J92" s="264">
        <v>1050</v>
      </c>
      <c r="K92" s="77">
        <v>47269.286252314567</v>
      </c>
      <c r="L92" s="264">
        <v>1588.2480180777693</v>
      </c>
      <c r="M92" s="77"/>
      <c r="N92" s="264"/>
      <c r="O92" s="78">
        <f t="shared" si="2"/>
        <v>39259.643126157287</v>
      </c>
      <c r="P92" s="78">
        <f t="shared" si="3"/>
        <v>1319.1240090388847</v>
      </c>
      <c r="S92" s="18"/>
      <c r="T92" s="18"/>
      <c r="W92" s="53"/>
      <c r="X92" s="53"/>
    </row>
    <row r="93" spans="2:24" ht="39.950000000000003" customHeight="1" x14ac:dyDescent="0.2">
      <c r="B93" s="83" t="s">
        <v>1547</v>
      </c>
      <c r="C93" s="74">
        <v>71</v>
      </c>
      <c r="D93" s="506" t="str">
        <f>IFERROR(VLOOKUP(B93,Fontes!$A$9:$AC$6124,2,FALSE),0)</f>
        <v>Unidade condensadora do sistema de expansão direta, tipo VRV condensador axial com descarga para cima, capacidade térmica de 114.000 btu/h  -  tensão 220 v - gás refrigerante R-410A (ref.: RHXYQ12ATK - Daikin ou equivalente)</v>
      </c>
      <c r="E93" s="507">
        <f>IFERROR(VLOOKUP(D93,Planilha!$B$10:$AC$943,4,FALSE),0)</f>
        <v>0</v>
      </c>
      <c r="F93" s="508">
        <f>IFERROR(VLOOKUP(E93,Planilha!$B$10:$AC$943,4,FALSE),0)</f>
        <v>0</v>
      </c>
      <c r="G93" s="75" t="str">
        <f>IFERROR(VLOOKUP(B93,Fontes!$A$9:$AC$6124,3,FALSE),0)</f>
        <v>un</v>
      </c>
      <c r="H93" s="75">
        <v>1</v>
      </c>
      <c r="I93" s="77">
        <v>31910</v>
      </c>
      <c r="J93" s="264">
        <v>1050</v>
      </c>
      <c r="K93" s="77">
        <v>48267.61357796345</v>
      </c>
      <c r="L93" s="264">
        <v>1588.2480180777693</v>
      </c>
      <c r="M93" s="77"/>
      <c r="N93" s="264"/>
      <c r="O93" s="78">
        <f t="shared" si="2"/>
        <v>40088.806788981725</v>
      </c>
      <c r="P93" s="78">
        <f t="shared" si="3"/>
        <v>1319.1240090388847</v>
      </c>
      <c r="S93" s="18"/>
      <c r="T93" s="18"/>
      <c r="W93" s="53"/>
      <c r="X93" s="53"/>
    </row>
    <row r="94" spans="2:24" ht="39.950000000000003" customHeight="1" x14ac:dyDescent="0.2">
      <c r="B94" s="83" t="s">
        <v>1548</v>
      </c>
      <c r="C94" s="74">
        <v>72</v>
      </c>
      <c r="D94" s="506" t="str">
        <f>IFERROR(VLOOKUP(B94,Fontes!$A$9:$AC$6124,2,FALSE),0)</f>
        <v>Unidade condensadora do sistema de expansão direta, tipo VRV condensador axial com descarga para cima, capacidade térmica de 249.000 btu/h  -  tensão 220 v - gás refrigerante R-410A (ref.: RHXYQ26ATL - Daikin ou equivalente)</v>
      </c>
      <c r="E94" s="507">
        <f>IFERROR(VLOOKUP(D94,Planilha!$B$10:$AC$943,4,FALSE),0)</f>
        <v>0</v>
      </c>
      <c r="F94" s="508">
        <f>IFERROR(VLOOKUP(E94,Planilha!$B$10:$AC$943,4,FALSE),0)</f>
        <v>0</v>
      </c>
      <c r="G94" s="75" t="str">
        <f>IFERROR(VLOOKUP(B94,Fontes!$A$9:$AC$6124,3,FALSE),0)</f>
        <v>un</v>
      </c>
      <c r="H94" s="75">
        <v>1</v>
      </c>
      <c r="I94" s="77">
        <v>60180</v>
      </c>
      <c r="J94" s="264">
        <v>1050</v>
      </c>
      <c r="K94" s="77">
        <v>91029.300693257304</v>
      </c>
      <c r="L94" s="264">
        <v>1588.2480180777693</v>
      </c>
      <c r="M94" s="77"/>
      <c r="N94" s="264"/>
      <c r="O94" s="78">
        <f t="shared" si="2"/>
        <v>75604.650346628652</v>
      </c>
      <c r="P94" s="78">
        <f t="shared" si="3"/>
        <v>1319.1240090388847</v>
      </c>
      <c r="S94" s="18"/>
      <c r="T94" s="18"/>
      <c r="W94" s="53"/>
      <c r="X94" s="53"/>
    </row>
    <row r="95" spans="2:24" ht="39.950000000000003" customHeight="1" x14ac:dyDescent="0.2">
      <c r="B95" s="83" t="s">
        <v>1549</v>
      </c>
      <c r="C95" s="74">
        <v>73</v>
      </c>
      <c r="D95" s="506" t="str">
        <f>IFERROR(VLOOKUP(B95,Fontes!$A$9:$AC$6124,2,FALSE),0)</f>
        <v>Unidade condensadora do sistema de expansão direta, tipo VRV condensador axial com descarga para cima, capacidade térmica de 278.000 btu/h  -  tensão 220 v - gás refrigerante R-410A (ref.: RHXYQ30ATL - Daikin ou equivalente)</v>
      </c>
      <c r="E95" s="507">
        <f>IFERROR(VLOOKUP(D95,Planilha!$B$10:$AC$943,4,FALSE),0)</f>
        <v>0</v>
      </c>
      <c r="F95" s="508">
        <f>IFERROR(VLOOKUP(E95,Planilha!$B$10:$AC$943,4,FALSE),0)</f>
        <v>0</v>
      </c>
      <c r="G95" s="75" t="str">
        <f>IFERROR(VLOOKUP(B95,Fontes!$A$9:$AC$6124,3,FALSE),0)</f>
        <v>un</v>
      </c>
      <c r="H95" s="75">
        <v>1</v>
      </c>
      <c r="I95" s="77">
        <v>61500</v>
      </c>
      <c r="J95" s="264">
        <v>1050</v>
      </c>
      <c r="K95" s="77">
        <v>93025.95534455507</v>
      </c>
      <c r="L95" s="264">
        <v>1588.2480180777693</v>
      </c>
      <c r="M95" s="77"/>
      <c r="N95" s="264"/>
      <c r="O95" s="78">
        <f t="shared" si="2"/>
        <v>77262.977672277542</v>
      </c>
      <c r="P95" s="78">
        <f t="shared" si="3"/>
        <v>1319.1240090388847</v>
      </c>
      <c r="S95" s="18"/>
      <c r="T95" s="18"/>
      <c r="W95" s="53"/>
      <c r="X95" s="53"/>
    </row>
    <row r="96" spans="2:24" ht="39.950000000000003" customHeight="1" x14ac:dyDescent="0.2">
      <c r="B96" s="83" t="s">
        <v>1550</v>
      </c>
      <c r="C96" s="74">
        <v>74</v>
      </c>
      <c r="D96" s="506" t="str">
        <f>IFERROR(VLOOKUP(B96,Fontes!$A$9:$AC$6124,2,FALSE),0)</f>
        <v>Unidade condensadora do sistema de expansão direta, tipo VRV condensador axial com descarga para cima, capacidade térmica de 338.000 btu/h  -  tensão 220 v - gás refrigerante R-410A (ref.: RHXYQ36ATL - Daikin ou equivalente)</v>
      </c>
      <c r="E96" s="507">
        <f>IFERROR(VLOOKUP(D96,Planilha!$B$10:$AC$943,4,FALSE),0)</f>
        <v>0</v>
      </c>
      <c r="F96" s="508">
        <f>IFERROR(VLOOKUP(E96,Planilha!$B$10:$AC$943,4,FALSE),0)</f>
        <v>0</v>
      </c>
      <c r="G96" s="75" t="str">
        <f>IFERROR(VLOOKUP(B96,Fontes!$A$9:$AC$6124,3,FALSE),0)</f>
        <v>un</v>
      </c>
      <c r="H96" s="75">
        <v>1</v>
      </c>
      <c r="I96" s="77">
        <v>87430</v>
      </c>
      <c r="J96" s="264">
        <v>1050</v>
      </c>
      <c r="K96" s="77">
        <v>132248.11830527562</v>
      </c>
      <c r="L96" s="264">
        <v>1588.2480180777693</v>
      </c>
      <c r="M96" s="77"/>
      <c r="N96" s="264"/>
      <c r="O96" s="78">
        <f t="shared" ref="O96:O115" si="6">IFERROR(+AVERAGE(I96,K96,M96),0)</f>
        <v>109839.05915263781</v>
      </c>
      <c r="P96" s="78">
        <f t="shared" ref="P96:P115" si="7">IFERROR(+AVERAGE(J96,L96,N96),0)</f>
        <v>1319.1240090388847</v>
      </c>
      <c r="S96" s="18"/>
      <c r="T96" s="18"/>
      <c r="W96" s="53"/>
      <c r="X96" s="53"/>
    </row>
    <row r="97" spans="2:24" ht="39.950000000000003" customHeight="1" x14ac:dyDescent="0.2">
      <c r="B97" s="83" t="s">
        <v>1551</v>
      </c>
      <c r="C97" s="74">
        <v>75</v>
      </c>
      <c r="D97" s="506" t="str">
        <f>IFERROR(VLOOKUP(B97,Fontes!$A$9:$AC$6124,2,FALSE),0)</f>
        <v>Unidade condensadora do sistema de expansão direta, tipo VRV condensador axial com descarga para cima, capacidade térmica de 355.000 btu/h  -  tensão 220 v - gás refrigerante R-410A (ref.: RHXYQ38ATL - Daikin ou equivalente)</v>
      </c>
      <c r="E97" s="507">
        <f>IFERROR(VLOOKUP(D97,Planilha!$B$10:$AC$943,4,FALSE),0)</f>
        <v>0</v>
      </c>
      <c r="F97" s="508">
        <f>IFERROR(VLOOKUP(E97,Planilha!$B$10:$AC$943,4,FALSE),0)</f>
        <v>0</v>
      </c>
      <c r="G97" s="75" t="str">
        <f>IFERROR(VLOOKUP(B97,Fontes!$A$9:$AC$6124,3,FALSE),0)</f>
        <v>un</v>
      </c>
      <c r="H97" s="75">
        <v>1</v>
      </c>
      <c r="I97" s="77">
        <v>91240</v>
      </c>
      <c r="J97" s="264">
        <v>1050</v>
      </c>
      <c r="K97" s="77">
        <v>138011.18968515782</v>
      </c>
      <c r="L97" s="264">
        <v>1588.2480180777693</v>
      </c>
      <c r="M97" s="77"/>
      <c r="N97" s="264"/>
      <c r="O97" s="78">
        <f t="shared" si="6"/>
        <v>114625.59484257891</v>
      </c>
      <c r="P97" s="78">
        <f t="shared" si="7"/>
        <v>1319.1240090388847</v>
      </c>
      <c r="S97" s="18"/>
      <c r="T97" s="18"/>
      <c r="W97" s="53"/>
      <c r="X97" s="53"/>
    </row>
    <row r="98" spans="2:24" ht="39.950000000000003" customHeight="1" x14ac:dyDescent="0.2">
      <c r="B98" s="83" t="s">
        <v>1552</v>
      </c>
      <c r="C98" s="74">
        <v>76</v>
      </c>
      <c r="D98" s="506" t="str">
        <f>IFERROR(VLOOKUP(B98,Fontes!$A$9:$AC$6124,2,FALSE),0)</f>
        <v>Unidade condensadora do sistema de expansão direta, tipo VRV condensador axial com descarga para cima, capacidade térmica de 372.000 btu/h  -  tensão 220 v - gás refrigerante R-410A (ref.: RHXYQ40ATL - Daikin ou equivalente)</v>
      </c>
      <c r="E98" s="507">
        <f>IFERROR(VLOOKUP(D98,Planilha!$B$10:$AC$943,4,FALSE),0)</f>
        <v>0</v>
      </c>
      <c r="F98" s="508">
        <f>IFERROR(VLOOKUP(E98,Planilha!$B$10:$AC$943,4,FALSE),0)</f>
        <v>0</v>
      </c>
      <c r="G98" s="75" t="str">
        <f>IFERROR(VLOOKUP(B98,Fontes!$A$9:$AC$6124,3,FALSE),0)</f>
        <v>un</v>
      </c>
      <c r="H98" s="75">
        <v>1</v>
      </c>
      <c r="I98" s="77">
        <v>104720</v>
      </c>
      <c r="J98" s="264">
        <v>1050</v>
      </c>
      <c r="K98" s="77">
        <v>158401.26900295622</v>
      </c>
      <c r="L98" s="264">
        <v>1588.2480180777693</v>
      </c>
      <c r="M98" s="77"/>
      <c r="N98" s="264"/>
      <c r="O98" s="78">
        <f t="shared" si="6"/>
        <v>131560.63450147811</v>
      </c>
      <c r="P98" s="78">
        <f t="shared" si="7"/>
        <v>1319.1240090388847</v>
      </c>
      <c r="S98" s="18"/>
      <c r="T98" s="18"/>
      <c r="W98" s="53"/>
      <c r="X98" s="53"/>
    </row>
    <row r="99" spans="2:24" ht="39.950000000000003" customHeight="1" x14ac:dyDescent="0.2">
      <c r="B99" s="83" t="s">
        <v>2182</v>
      </c>
      <c r="C99" s="74">
        <v>77</v>
      </c>
      <c r="D99" s="506" t="str">
        <f>IFERROR(VLOOKUP(B99,Fontes!$A$9:$AC$6124,2,FALSE),0)</f>
        <v>Unidade evaporadora tipo hi-wall para sistema split 12.000 btus  - tensão 220 v - gás refrigerante r-410a (ref.: asbg12jmca - fujitsu</v>
      </c>
      <c r="E99" s="507">
        <f>IFERROR(VLOOKUP(D99,Planilha!$B$10:$AC$943,4,FALSE),0)</f>
        <v>0</v>
      </c>
      <c r="F99" s="508">
        <f>IFERROR(VLOOKUP(E99,Planilha!$B$10:$AC$943,4,FALSE),0)</f>
        <v>0</v>
      </c>
      <c r="G99" s="75" t="str">
        <f>IFERROR(VLOOKUP(B99,Fontes!$A$9:$AC$6124,3,FALSE),0)</f>
        <v>un</v>
      </c>
      <c r="H99" s="75">
        <v>1</v>
      </c>
      <c r="I99" s="264">
        <v>2122.2000000000003</v>
      </c>
      <c r="J99" s="264">
        <v>950</v>
      </c>
      <c r="K99" s="264"/>
      <c r="L99" s="264"/>
      <c r="M99" s="264"/>
      <c r="N99" s="264"/>
      <c r="O99" s="78">
        <f t="shared" ref="O99:O104" si="8">IFERROR(+AVERAGE(I99,K99,M99),0)</f>
        <v>2122.2000000000003</v>
      </c>
      <c r="P99" s="78">
        <f t="shared" ref="P99:P104" si="9">IFERROR(+AVERAGE(J99,L99,N99),0)</f>
        <v>950</v>
      </c>
      <c r="S99" s="18"/>
      <c r="T99" s="18"/>
      <c r="W99" s="53"/>
      <c r="X99" s="53"/>
    </row>
    <row r="100" spans="2:24" ht="39.950000000000003" customHeight="1" x14ac:dyDescent="0.2">
      <c r="B100" s="83" t="s">
        <v>2183</v>
      </c>
      <c r="C100" s="74">
        <v>78</v>
      </c>
      <c r="D100" s="506" t="str">
        <f>IFERROR(VLOOKUP(B100,Fontes!$A$9:$AC$6124,2,FALSE),0)</f>
        <v>Unidade condensadora descarga horiz.  para sistema split 12.000 btus  - tensão 220 v - gás refrigerante r-410a (ref.:aobg12jmca - fujitsu</v>
      </c>
      <c r="E100" s="507">
        <f>IFERROR(VLOOKUP(D100,Planilha!$B$10:$AC$943,4,FALSE),0)</f>
        <v>0</v>
      </c>
      <c r="F100" s="508">
        <f>IFERROR(VLOOKUP(E100,Planilha!$B$10:$AC$943,4,FALSE),0)</f>
        <v>0</v>
      </c>
      <c r="G100" s="75" t="str">
        <f>IFERROR(VLOOKUP(B100,Fontes!$A$9:$AC$6124,3,FALSE),0)</f>
        <v>un</v>
      </c>
      <c r="H100" s="75">
        <v>1</v>
      </c>
      <c r="I100" s="264">
        <v>2502.9</v>
      </c>
      <c r="J100" s="264">
        <v>950</v>
      </c>
      <c r="K100" s="264"/>
      <c r="L100" s="264"/>
      <c r="M100" s="264"/>
      <c r="N100" s="264"/>
      <c r="O100" s="78">
        <f t="shared" si="8"/>
        <v>2502.9</v>
      </c>
      <c r="P100" s="78">
        <f t="shared" si="9"/>
        <v>950</v>
      </c>
      <c r="S100" s="18"/>
      <c r="T100" s="18"/>
      <c r="W100" s="53"/>
      <c r="X100" s="53"/>
    </row>
    <row r="101" spans="2:24" ht="39.950000000000003" customHeight="1" x14ac:dyDescent="0.2">
      <c r="B101" s="83" t="s">
        <v>2184</v>
      </c>
      <c r="C101" s="74">
        <v>79</v>
      </c>
      <c r="D101" s="506" t="str">
        <f>IFERROR(VLOOKUP(B101,Fontes!$A$9:$AC$6124,2,FALSE),0)</f>
        <v>Exaustor centrífugo de simples aspiração sirocco com vazão de 990 m3/h, p.e.d.= 40mmca  motor de 0,5 hp 220v/3f/60hz. sem filtro. ref.: iss-200 projelmec</v>
      </c>
      <c r="E101" s="507">
        <f>IFERROR(VLOOKUP(D101,Planilha!$B$10:$AC$943,4,FALSE),0)</f>
        <v>0</v>
      </c>
      <c r="F101" s="508">
        <f>IFERROR(VLOOKUP(E101,Planilha!$B$10:$AC$943,4,FALSE),0)</f>
        <v>0</v>
      </c>
      <c r="G101" s="75" t="str">
        <f>IFERROR(VLOOKUP(B101,Fontes!$A$9:$AC$6124,3,FALSE),0)</f>
        <v>un</v>
      </c>
      <c r="H101" s="75">
        <v>1</v>
      </c>
      <c r="I101" s="264">
        <v>5280.4000000000005</v>
      </c>
      <c r="J101" s="264">
        <v>1425</v>
      </c>
      <c r="K101" s="264"/>
      <c r="L101" s="264"/>
      <c r="M101" s="264"/>
      <c r="N101" s="264"/>
      <c r="O101" s="78">
        <f t="shared" si="8"/>
        <v>5280.4000000000005</v>
      </c>
      <c r="P101" s="78">
        <f t="shared" si="9"/>
        <v>1425</v>
      </c>
      <c r="S101" s="18"/>
      <c r="T101" s="18"/>
      <c r="W101" s="53"/>
      <c r="X101" s="53"/>
    </row>
    <row r="102" spans="2:24" ht="39.950000000000003" customHeight="1" x14ac:dyDescent="0.2">
      <c r="B102" s="83" t="s">
        <v>2185</v>
      </c>
      <c r="C102" s="74">
        <v>80</v>
      </c>
      <c r="D102" s="506" t="str">
        <f>IFERROR(VLOOKUP(B102,Fontes!$A$9:$AC$6124,2,FALSE),0)</f>
        <v>Exaustor centrífugo de simples aspiração sirocco  com vazão de 5.580 m3/h, p.e.d.= 80mmca motor de 4,0 hp 220v/3f/60hz. sem filtro. ref.: iss-400 projelmec</v>
      </c>
      <c r="E102" s="507">
        <f>IFERROR(VLOOKUP(D102,Planilha!$B$10:$AC$943,4,FALSE),0)</f>
        <v>0</v>
      </c>
      <c r="F102" s="508">
        <f>IFERROR(VLOOKUP(E102,Planilha!$B$10:$AC$943,4,FALSE),0)</f>
        <v>0</v>
      </c>
      <c r="G102" s="75" t="str">
        <f>IFERROR(VLOOKUP(B102,Fontes!$A$9:$AC$6124,3,FALSE),0)</f>
        <v>un</v>
      </c>
      <c r="H102" s="75">
        <v>1</v>
      </c>
      <c r="I102" s="264">
        <v>12501.6</v>
      </c>
      <c r="J102" s="264">
        <v>1425</v>
      </c>
      <c r="K102" s="264"/>
      <c r="L102" s="264"/>
      <c r="M102" s="264"/>
      <c r="N102" s="264"/>
      <c r="O102" s="78">
        <f t="shared" si="8"/>
        <v>12501.6</v>
      </c>
      <c r="P102" s="78">
        <f t="shared" si="9"/>
        <v>1425</v>
      </c>
      <c r="S102" s="18"/>
      <c r="T102" s="18"/>
      <c r="W102" s="53"/>
      <c r="X102" s="53"/>
    </row>
    <row r="103" spans="2:24" ht="39.950000000000003" customHeight="1" x14ac:dyDescent="0.2">
      <c r="B103" s="83" t="s">
        <v>2186</v>
      </c>
      <c r="C103" s="74">
        <v>81</v>
      </c>
      <c r="D103" s="506" t="str">
        <f>IFERROR(VLOOKUP(B103,Fontes!$A$9:$AC$6124,2,FALSE),0)</f>
        <v>Gabinete de exaustão/ventilação de dupla aspiração sirocco com vazão de 3.060 m3/h, p.e.d.= 25mmca motor de 1,0 hp 220v/3f/60hz. sem filtro. ref.: csd-250 projelmec</v>
      </c>
      <c r="E103" s="507">
        <f>IFERROR(VLOOKUP(D103,Planilha!$B$10:$AC$943,4,FALSE),0)</f>
        <v>0</v>
      </c>
      <c r="F103" s="508">
        <f>IFERROR(VLOOKUP(E103,Planilha!$B$10:$AC$943,4,FALSE),0)</f>
        <v>0</v>
      </c>
      <c r="G103" s="75" t="str">
        <f>IFERROR(VLOOKUP(B103,Fontes!$A$9:$AC$6124,3,FALSE),0)</f>
        <v>un</v>
      </c>
      <c r="H103" s="75">
        <v>1</v>
      </c>
      <c r="I103" s="264">
        <v>5865</v>
      </c>
      <c r="J103" s="264">
        <v>1090</v>
      </c>
      <c r="K103" s="264"/>
      <c r="L103" s="264"/>
      <c r="M103" s="264"/>
      <c r="N103" s="264"/>
      <c r="O103" s="78">
        <f t="shared" si="8"/>
        <v>5865</v>
      </c>
      <c r="P103" s="78">
        <f t="shared" si="9"/>
        <v>1090</v>
      </c>
      <c r="S103" s="18"/>
      <c r="T103" s="18"/>
      <c r="W103" s="53"/>
      <c r="X103" s="53"/>
    </row>
    <row r="104" spans="2:24" ht="39.950000000000003" customHeight="1" x14ac:dyDescent="0.2">
      <c r="B104" s="83" t="s">
        <v>2187</v>
      </c>
      <c r="C104" s="74">
        <v>82</v>
      </c>
      <c r="D104" s="506" t="str">
        <f>IFERROR(VLOOKUP(B104,Fontes!$A$9:$AC$6124,2,FALSE),0)</f>
        <v>Gabinete de exaustão/ventilação de dupla aspiração sirocco com vazão de 4.700 m3/h, p.e.d.= 25mmca  motor de 1,5 hp 220v/3f/60hz. sem filtro. ref.: csd-355 projelmec</v>
      </c>
      <c r="E104" s="507">
        <f>IFERROR(VLOOKUP(D104,Planilha!$B$10:$AC$943,4,FALSE),0)</f>
        <v>0</v>
      </c>
      <c r="F104" s="508">
        <f>IFERROR(VLOOKUP(E104,Planilha!$B$10:$AC$943,4,FALSE),0)</f>
        <v>0</v>
      </c>
      <c r="G104" s="75" t="str">
        <f>IFERROR(VLOOKUP(B104,Fontes!$A$9:$AC$6124,3,FALSE),0)</f>
        <v>un</v>
      </c>
      <c r="H104" s="75">
        <v>1</v>
      </c>
      <c r="I104" s="264">
        <v>8798</v>
      </c>
      <c r="J104" s="264">
        <v>1090</v>
      </c>
      <c r="K104" s="264"/>
      <c r="L104" s="264"/>
      <c r="M104" s="264"/>
      <c r="N104" s="264"/>
      <c r="O104" s="78">
        <f t="shared" si="8"/>
        <v>8798</v>
      </c>
      <c r="P104" s="78">
        <f t="shared" si="9"/>
        <v>1090</v>
      </c>
      <c r="S104" s="18"/>
      <c r="T104" s="18"/>
      <c r="W104" s="53"/>
      <c r="X104" s="53"/>
    </row>
    <row r="105" spans="2:24" ht="24.95" customHeight="1" x14ac:dyDescent="0.2">
      <c r="B105" s="83" t="s">
        <v>1553</v>
      </c>
      <c r="C105" s="74">
        <v>83</v>
      </c>
      <c r="D105" s="506" t="str">
        <f>IFERROR(VLOOKUP(B105,Fontes!$A$9:$AC$6124,2,FALSE),0)</f>
        <v xml:space="preserve">Alimentação elétrica completa com eletrodutos, fiações, conexões entre ponto de força e unidades condensadoras e evaporadoras </v>
      </c>
      <c r="E105" s="507">
        <f>IFERROR(VLOOKUP(D105,Planilha!$B$10:$AC$943,4,FALSE),0)</f>
        <v>0</v>
      </c>
      <c r="F105" s="508">
        <f>IFERROR(VLOOKUP(E105,Planilha!$B$10:$AC$943,4,FALSE),0)</f>
        <v>0</v>
      </c>
      <c r="G105" s="75" t="str">
        <f>IFERROR(VLOOKUP(B105,Fontes!$A$9:$AC$6124,3,FALSE),0)</f>
        <v>sv</v>
      </c>
      <c r="H105" s="75">
        <v>1</v>
      </c>
      <c r="I105" s="77">
        <v>13721</v>
      </c>
      <c r="J105" s="264">
        <v>12135</v>
      </c>
      <c r="K105" s="77">
        <v>20754.62005337626</v>
      </c>
      <c r="L105" s="264">
        <v>18355.609237498789</v>
      </c>
      <c r="M105" s="77"/>
      <c r="N105" s="264"/>
      <c r="O105" s="78">
        <f t="shared" si="6"/>
        <v>17237.81002668813</v>
      </c>
      <c r="P105" s="78">
        <f t="shared" si="7"/>
        <v>15245.304618749395</v>
      </c>
      <c r="S105" s="18"/>
      <c r="T105" s="18"/>
      <c r="W105" s="53"/>
      <c r="X105" s="53"/>
    </row>
    <row r="106" spans="2:24" ht="24.95" customHeight="1" x14ac:dyDescent="0.2">
      <c r="B106" s="83" t="s">
        <v>1554</v>
      </c>
      <c r="C106" s="74">
        <v>84</v>
      </c>
      <c r="D106" s="506" t="str">
        <f>IFERROR(VLOOKUP(B106,Fontes!$A$9:$AC$6124,2,FALSE),0)</f>
        <v>Interligação elétrica de força e comando de unidades evaporadoras, completas de cabos de força e comando e automação</v>
      </c>
      <c r="E106" s="507">
        <f>IFERROR(VLOOKUP(D106,Planilha!$B$10:$AC$943,4,FALSE),0)</f>
        <v>0</v>
      </c>
      <c r="F106" s="508">
        <f>IFERROR(VLOOKUP(E106,Planilha!$B$10:$AC$943,4,FALSE),0)</f>
        <v>0</v>
      </c>
      <c r="G106" s="75" t="str">
        <f>IFERROR(VLOOKUP(B106,Fontes!$A$9:$AC$6124,3,FALSE),0)</f>
        <v>sv</v>
      </c>
      <c r="H106" s="75">
        <v>1</v>
      </c>
      <c r="I106" s="77">
        <v>12697</v>
      </c>
      <c r="J106" s="264">
        <v>11647</v>
      </c>
      <c r="K106" s="77">
        <v>19205.700081460418</v>
      </c>
      <c r="L106" s="264">
        <v>17617.452063382647</v>
      </c>
      <c r="M106" s="77"/>
      <c r="N106" s="264"/>
      <c r="O106" s="78">
        <f t="shared" si="6"/>
        <v>15951.350040730209</v>
      </c>
      <c r="P106" s="78">
        <f t="shared" si="7"/>
        <v>14632.226031691323</v>
      </c>
      <c r="S106" s="18"/>
      <c r="T106" s="18"/>
      <c r="W106" s="53"/>
      <c r="X106" s="53"/>
    </row>
    <row r="107" spans="2:24" x14ac:dyDescent="0.2">
      <c r="B107" s="83" t="s">
        <v>1555</v>
      </c>
      <c r="C107" s="74">
        <v>85</v>
      </c>
      <c r="D107" s="506" t="str">
        <f>IFERROR(VLOOKUP(B107,Fontes!$A$9:$AC$6124,2,FALSE),0)</f>
        <v>Painel de comando e supervisão geral de unidades condensadoras+evaporadoras</v>
      </c>
      <c r="E107" s="507">
        <f>IFERROR(VLOOKUP(D107,Planilha!$B$10:$AC$943,4,FALSE),0)</f>
        <v>0</v>
      </c>
      <c r="F107" s="508">
        <f>IFERROR(VLOOKUP(E107,Planilha!$B$10:$AC$943,4,FALSE),0)</f>
        <v>0</v>
      </c>
      <c r="G107" s="75" t="str">
        <f>IFERROR(VLOOKUP(B107,Fontes!$A$9:$AC$6124,3,FALSE),0)</f>
        <v>sv</v>
      </c>
      <c r="H107" s="75">
        <v>1</v>
      </c>
      <c r="I107" s="77">
        <v>9328</v>
      </c>
      <c r="J107" s="264">
        <v>1495</v>
      </c>
      <c r="K107" s="77">
        <v>14109.692869170889</v>
      </c>
      <c r="L107" s="264">
        <v>2261.3626543107284</v>
      </c>
      <c r="M107" s="77"/>
      <c r="N107" s="264"/>
      <c r="O107" s="78">
        <f t="shared" si="6"/>
        <v>11718.846434585445</v>
      </c>
      <c r="P107" s="78">
        <f t="shared" si="7"/>
        <v>1878.1813271553642</v>
      </c>
      <c r="S107" s="18"/>
      <c r="T107" s="18"/>
      <c r="W107" s="53"/>
      <c r="X107" s="53"/>
    </row>
    <row r="108" spans="2:24" x14ac:dyDescent="0.2">
      <c r="B108" s="83" t="s">
        <v>1556</v>
      </c>
      <c r="C108" s="74">
        <v>86</v>
      </c>
      <c r="D108" s="506" t="str">
        <f>IFERROR(VLOOKUP(B108,Fontes!$A$9:$AC$6124,2,FALSE),0)</f>
        <v xml:space="preserve">Lastros de neoprene + perfil metálico para instalação das unidades condensadoras </v>
      </c>
      <c r="E108" s="507">
        <f>IFERROR(VLOOKUP(D108,Planilha!$B$10:$AC$943,4,FALSE),0)</f>
        <v>0</v>
      </c>
      <c r="F108" s="508">
        <f>IFERROR(VLOOKUP(E108,Planilha!$B$10:$AC$943,4,FALSE),0)</f>
        <v>0</v>
      </c>
      <c r="G108" s="75" t="str">
        <f>IFERROR(VLOOKUP(B108,Fontes!$A$9:$AC$6124,3,FALSE),0)</f>
        <v>cj</v>
      </c>
      <c r="H108" s="75">
        <v>1</v>
      </c>
      <c r="I108" s="77">
        <v>2600</v>
      </c>
      <c r="J108" s="264">
        <v>2350</v>
      </c>
      <c r="K108" s="77">
        <v>3932.8046161925718</v>
      </c>
      <c r="L108" s="264">
        <v>3554.6503261740554</v>
      </c>
      <c r="M108" s="77"/>
      <c r="N108" s="264"/>
      <c r="O108" s="78">
        <f t="shared" si="6"/>
        <v>3266.4023080962861</v>
      </c>
      <c r="P108" s="78">
        <f t="shared" si="7"/>
        <v>2952.3251630870277</v>
      </c>
      <c r="S108" s="18"/>
      <c r="T108" s="18"/>
      <c r="W108" s="53"/>
      <c r="X108" s="53"/>
    </row>
    <row r="109" spans="2:24" x14ac:dyDescent="0.2">
      <c r="B109" s="83" t="s">
        <v>1557</v>
      </c>
      <c r="C109" s="74">
        <v>87</v>
      </c>
      <c r="D109" s="506" t="str">
        <f>IFERROR(VLOOKUP(B109,Fontes!$A$9:$AC$6124,2,FALSE),0)</f>
        <v>Transporte horizontal/vertical, fretes, e seguros</v>
      </c>
      <c r="E109" s="507">
        <f>IFERROR(VLOOKUP(D109,Planilha!$B$10:$AC$943,4,FALSE),0)</f>
        <v>0</v>
      </c>
      <c r="F109" s="508">
        <f>IFERROR(VLOOKUP(E109,Planilha!$B$10:$AC$943,4,FALSE),0)</f>
        <v>0</v>
      </c>
      <c r="G109" s="75" t="str">
        <f>IFERROR(VLOOKUP(B109,Fontes!$A$9:$AC$6124,3,FALSE),0)</f>
        <v>sv</v>
      </c>
      <c r="H109" s="75">
        <v>1</v>
      </c>
      <c r="I109" s="77"/>
      <c r="J109" s="264">
        <v>18200</v>
      </c>
      <c r="K109" s="77">
        <v>0</v>
      </c>
      <c r="L109" s="264">
        <v>27529.632313348</v>
      </c>
      <c r="M109" s="77"/>
      <c r="N109" s="264"/>
      <c r="O109" s="78">
        <f t="shared" si="6"/>
        <v>0</v>
      </c>
      <c r="P109" s="78">
        <f t="shared" si="7"/>
        <v>22864.816156674002</v>
      </c>
      <c r="S109" s="18"/>
      <c r="T109" s="18"/>
      <c r="W109" s="53"/>
      <c r="X109" s="53"/>
    </row>
    <row r="110" spans="2:24" x14ac:dyDescent="0.2">
      <c r="B110" s="83" t="s">
        <v>1558</v>
      </c>
      <c r="C110" s="74">
        <v>88</v>
      </c>
      <c r="D110" s="506" t="str">
        <f>IFERROR(VLOOKUP(B110,Fontes!$A$9:$AC$6124,2,FALSE),0)</f>
        <v xml:space="preserve">Projeto "as-built", manual de operação e manutenção  </v>
      </c>
      <c r="E110" s="507">
        <f>IFERROR(VLOOKUP(D110,Planilha!$B$10:$AC$943,4,FALSE),0)</f>
        <v>0</v>
      </c>
      <c r="F110" s="508">
        <f>IFERROR(VLOOKUP(E110,Planilha!$B$10:$AC$943,4,FALSE),0)</f>
        <v>0</v>
      </c>
      <c r="G110" s="75" t="str">
        <f>IFERROR(VLOOKUP(B110,Fontes!$A$9:$AC$6124,3,FALSE),0)</f>
        <v>sv</v>
      </c>
      <c r="H110" s="75">
        <v>1</v>
      </c>
      <c r="I110" s="77"/>
      <c r="J110" s="264">
        <v>12750</v>
      </c>
      <c r="K110" s="77">
        <v>0</v>
      </c>
      <c r="L110" s="264">
        <v>19285.868790944343</v>
      </c>
      <c r="M110" s="77"/>
      <c r="N110" s="264"/>
      <c r="O110" s="78">
        <f t="shared" si="6"/>
        <v>0</v>
      </c>
      <c r="P110" s="78">
        <f t="shared" si="7"/>
        <v>16017.934395472172</v>
      </c>
      <c r="S110" s="18"/>
      <c r="T110" s="18"/>
      <c r="W110" s="53"/>
      <c r="X110" s="53"/>
    </row>
    <row r="111" spans="2:24" x14ac:dyDescent="0.2">
      <c r="B111" s="83" t="s">
        <v>1559</v>
      </c>
      <c r="C111" s="74">
        <v>89</v>
      </c>
      <c r="D111" s="506" t="str">
        <f>IFERROR(VLOOKUP(B111,Fontes!$A$9:$AC$6124,2,FALSE),0)</f>
        <v>Pontos de drenagem (apenas interligação)</v>
      </c>
      <c r="E111" s="507">
        <f>IFERROR(VLOOKUP(D111,Planilha!$B$10:$AC$943,4,FALSE),0)</f>
        <v>0</v>
      </c>
      <c r="F111" s="508">
        <f>IFERROR(VLOOKUP(E111,Planilha!$B$10:$AC$943,4,FALSE),0)</f>
        <v>0</v>
      </c>
      <c r="G111" s="75" t="str">
        <f>IFERROR(VLOOKUP(B111,Fontes!$A$9:$AC$6124,3,FALSE),0)</f>
        <v>sv</v>
      </c>
      <c r="H111" s="75">
        <v>1</v>
      </c>
      <c r="I111" s="77"/>
      <c r="J111" s="264">
        <v>9000</v>
      </c>
      <c r="K111" s="77">
        <v>0</v>
      </c>
      <c r="L111" s="264">
        <v>13613.554440666594</v>
      </c>
      <c r="M111" s="77"/>
      <c r="N111" s="264"/>
      <c r="O111" s="78">
        <f t="shared" si="6"/>
        <v>0</v>
      </c>
      <c r="P111" s="78">
        <f t="shared" si="7"/>
        <v>11306.777220333297</v>
      </c>
      <c r="S111" s="18"/>
      <c r="T111" s="18"/>
      <c r="W111" s="53"/>
      <c r="X111" s="53"/>
    </row>
    <row r="112" spans="2:24" x14ac:dyDescent="0.2">
      <c r="B112" s="83" t="s">
        <v>1560</v>
      </c>
      <c r="C112" s="74">
        <v>90</v>
      </c>
      <c r="D112" s="506" t="str">
        <f>IFERROR(VLOOKUP(B112,Fontes!$A$9:$AC$6124,2,FALSE),0)</f>
        <v>Suportes e miudezas</v>
      </c>
      <c r="E112" s="507">
        <f>IFERROR(VLOOKUP(D112,Planilha!$B$10:$AC$943,4,FALSE),0)</f>
        <v>0</v>
      </c>
      <c r="F112" s="508">
        <f>IFERROR(VLOOKUP(E112,Planilha!$B$10:$AC$943,4,FALSE),0)</f>
        <v>0</v>
      </c>
      <c r="G112" s="75" t="str">
        <f>IFERROR(VLOOKUP(B112,Fontes!$A$9:$AC$6124,3,FALSE),0)</f>
        <v>sv</v>
      </c>
      <c r="H112" s="75">
        <v>1</v>
      </c>
      <c r="I112" s="77"/>
      <c r="J112" s="264">
        <v>6500</v>
      </c>
      <c r="K112" s="77">
        <v>0</v>
      </c>
      <c r="L112" s="264">
        <v>9832.0115404814296</v>
      </c>
      <c r="M112" s="77"/>
      <c r="N112" s="264"/>
      <c r="O112" s="78">
        <f t="shared" si="6"/>
        <v>0</v>
      </c>
      <c r="P112" s="78">
        <f t="shared" si="7"/>
        <v>8166.0057702407148</v>
      </c>
      <c r="S112" s="18"/>
      <c r="T112" s="18"/>
      <c r="W112" s="53"/>
      <c r="X112" s="53"/>
    </row>
    <row r="113" spans="1:24" x14ac:dyDescent="0.2">
      <c r="B113" s="83" t="s">
        <v>1561</v>
      </c>
      <c r="C113" s="74">
        <v>91</v>
      </c>
      <c r="D113" s="506" t="str">
        <f>IFERROR(VLOOKUP(B113,Fontes!$A$9:$AC$6124,2,FALSE),0)</f>
        <v>Mobilizações e desmobilizações</v>
      </c>
      <c r="E113" s="507">
        <f>IFERROR(VLOOKUP(D113,Planilha!$B$10:$AC$943,4,FALSE),0)</f>
        <v>0</v>
      </c>
      <c r="F113" s="508">
        <f>IFERROR(VLOOKUP(E113,Planilha!$B$10:$AC$943,4,FALSE),0)</f>
        <v>0</v>
      </c>
      <c r="G113" s="75" t="str">
        <f>IFERROR(VLOOKUP(B113,Fontes!$A$9:$AC$6124,3,FALSE),0)</f>
        <v>sv</v>
      </c>
      <c r="H113" s="75">
        <v>1</v>
      </c>
      <c r="I113" s="77"/>
      <c r="J113" s="264">
        <v>5700</v>
      </c>
      <c r="K113" s="77">
        <v>0</v>
      </c>
      <c r="L113" s="264">
        <v>8621.9178124221762</v>
      </c>
      <c r="M113" s="77"/>
      <c r="N113" s="264"/>
      <c r="O113" s="78">
        <f t="shared" si="6"/>
        <v>0</v>
      </c>
      <c r="P113" s="78">
        <f t="shared" si="7"/>
        <v>7160.9589062110881</v>
      </c>
      <c r="S113" s="18"/>
      <c r="T113" s="18"/>
      <c r="W113" s="53"/>
      <c r="X113" s="53"/>
    </row>
    <row r="114" spans="1:24" x14ac:dyDescent="0.2">
      <c r="B114" s="83" t="s">
        <v>1562</v>
      </c>
      <c r="C114" s="74">
        <v>92</v>
      </c>
      <c r="D114" s="506" t="str">
        <f>IFERROR(VLOOKUP(B114,Fontes!$A$9:$AC$6124,2,FALSE),0)</f>
        <v>Equipe técnica permanente</v>
      </c>
      <c r="E114" s="507">
        <f>IFERROR(VLOOKUP(D114,Planilha!$B$10:$AC$943,4,FALSE),0)</f>
        <v>0</v>
      </c>
      <c r="F114" s="508">
        <f>IFERROR(VLOOKUP(E114,Planilha!$B$10:$AC$943,4,FALSE),0)</f>
        <v>0</v>
      </c>
      <c r="G114" s="75" t="str">
        <f>IFERROR(VLOOKUP(B114,Fontes!$A$9:$AC$6124,3,FALSE),0)</f>
        <v>sv</v>
      </c>
      <c r="H114" s="75">
        <v>1</v>
      </c>
      <c r="I114" s="77"/>
      <c r="J114" s="264">
        <v>31800</v>
      </c>
      <c r="K114" s="77">
        <v>0</v>
      </c>
      <c r="L114" s="264">
        <v>48101.225690355299</v>
      </c>
      <c r="M114" s="77"/>
      <c r="N114" s="264"/>
      <c r="O114" s="78">
        <f t="shared" si="6"/>
        <v>0</v>
      </c>
      <c r="P114" s="78">
        <f t="shared" si="7"/>
        <v>39950.612845177646</v>
      </c>
      <c r="S114" s="18"/>
      <c r="T114" s="18"/>
      <c r="W114" s="53"/>
      <c r="X114" s="53"/>
    </row>
    <row r="115" spans="1:24" x14ac:dyDescent="0.2">
      <c r="B115" s="83" t="s">
        <v>1563</v>
      </c>
      <c r="C115" s="74">
        <v>93</v>
      </c>
      <c r="D115" s="506" t="str">
        <f>IFERROR(VLOOKUP(B115,Fontes!$A$9:$AC$6124,2,FALSE),0)</f>
        <v>ART (anotação de responsabilidade técnica)</v>
      </c>
      <c r="E115" s="507">
        <f>IFERROR(VLOOKUP(D115,Planilha!$B$10:$AC$943,4,FALSE),0)</f>
        <v>0</v>
      </c>
      <c r="F115" s="508">
        <f>IFERROR(VLOOKUP(E115,Planilha!$B$10:$AC$943,4,FALSE),0)</f>
        <v>0</v>
      </c>
      <c r="G115" s="75" t="str">
        <f>IFERROR(VLOOKUP(B115,Fontes!$A$9:$AC$6124,3,FALSE),0)</f>
        <v>sv</v>
      </c>
      <c r="H115" s="75">
        <v>1</v>
      </c>
      <c r="I115" s="77"/>
      <c r="J115" s="264">
        <v>1200</v>
      </c>
      <c r="K115" s="77">
        <v>0</v>
      </c>
      <c r="L115" s="264">
        <v>1815.1405920888792</v>
      </c>
      <c r="M115" s="77"/>
      <c r="N115" s="264"/>
      <c r="O115" s="78">
        <f t="shared" si="6"/>
        <v>0</v>
      </c>
      <c r="P115" s="78">
        <f t="shared" si="7"/>
        <v>1507.5702960444396</v>
      </c>
      <c r="S115" s="18"/>
      <c r="T115" s="18"/>
      <c r="W115" s="53"/>
      <c r="X115" s="53"/>
    </row>
    <row r="116" spans="1:24" ht="15.75" thickBot="1" x14ac:dyDescent="0.25">
      <c r="C116" s="79"/>
      <c r="D116" s="493"/>
      <c r="E116" s="494"/>
      <c r="F116" s="495"/>
      <c r="G116" s="80"/>
      <c r="H116" s="80"/>
      <c r="I116" s="81"/>
      <c r="J116" s="280"/>
      <c r="K116" s="81"/>
      <c r="L116" s="280"/>
      <c r="M116" s="81"/>
      <c r="N116" s="280"/>
      <c r="O116" s="81"/>
      <c r="P116" s="82"/>
      <c r="S116" s="73"/>
      <c r="T116" s="73"/>
      <c r="W116" s="73"/>
      <c r="X116" s="73"/>
    </row>
    <row r="117" spans="1:24" x14ac:dyDescent="0.2">
      <c r="S117" s="18"/>
      <c r="U117" s="73"/>
    </row>
    <row r="118" spans="1:24" ht="15.75" thickBot="1" x14ac:dyDescent="0.25">
      <c r="S118" s="18"/>
    </row>
    <row r="119" spans="1:24" s="49" customFormat="1" ht="15.75" thickBot="1" x14ac:dyDescent="0.25">
      <c r="A119" s="87"/>
      <c r="B119" s="87"/>
      <c r="C119" s="46" t="s">
        <v>42</v>
      </c>
      <c r="D119" s="47"/>
      <c r="E119" s="47"/>
      <c r="F119" s="47"/>
      <c r="G119" s="47"/>
      <c r="H119" s="48"/>
      <c r="I119" s="48"/>
      <c r="J119" s="48"/>
      <c r="K119" s="48"/>
      <c r="L119" s="48"/>
      <c r="M119" s="48"/>
      <c r="N119" s="48"/>
      <c r="O119" s="48"/>
      <c r="P119" s="48"/>
      <c r="Q119" s="83"/>
      <c r="R119" s="17"/>
      <c r="U119" s="50"/>
    </row>
    <row r="120" spans="1:24" s="49" customFormat="1" x14ac:dyDescent="0.2">
      <c r="A120" s="87"/>
      <c r="B120" s="87"/>
      <c r="C120" s="551"/>
      <c r="D120" s="551"/>
      <c r="E120" s="551"/>
      <c r="F120" s="551"/>
      <c r="G120" s="551"/>
      <c r="H120" s="551"/>
      <c r="I120" s="551"/>
      <c r="J120" s="551"/>
      <c r="K120" s="551"/>
      <c r="L120" s="551"/>
      <c r="M120" s="551"/>
      <c r="N120" s="551"/>
      <c r="O120" s="551"/>
      <c r="P120" s="551"/>
      <c r="Q120" s="87"/>
      <c r="R120" s="17"/>
      <c r="U120" s="50"/>
    </row>
    <row r="121" spans="1:24" s="49" customFormat="1" x14ac:dyDescent="0.2">
      <c r="A121" s="87"/>
      <c r="B121" s="87"/>
      <c r="C121" s="561" t="s">
        <v>2281</v>
      </c>
      <c r="D121" s="561"/>
      <c r="E121" s="561"/>
      <c r="F121" s="561"/>
      <c r="G121" s="561"/>
      <c r="H121" s="561"/>
      <c r="I121" s="561"/>
      <c r="J121" s="561"/>
      <c r="K121" s="561"/>
      <c r="L121" s="561"/>
      <c r="M121" s="561"/>
      <c r="N121" s="561"/>
      <c r="O121" s="561"/>
      <c r="P121" s="561"/>
      <c r="Q121" s="87"/>
      <c r="R121" s="17"/>
      <c r="U121" s="50"/>
    </row>
    <row r="122" spans="1:24" s="49" customFormat="1" x14ac:dyDescent="0.2">
      <c r="A122" s="87"/>
      <c r="B122" s="87"/>
      <c r="C122" s="497"/>
      <c r="D122" s="497"/>
      <c r="E122" s="497"/>
      <c r="F122" s="497"/>
      <c r="G122" s="497"/>
      <c r="H122" s="497"/>
      <c r="I122" s="497"/>
      <c r="J122" s="497"/>
      <c r="K122" s="497"/>
      <c r="L122" s="497"/>
      <c r="M122" s="497"/>
      <c r="N122" s="497"/>
      <c r="O122" s="497"/>
      <c r="P122" s="497"/>
      <c r="Q122" s="87"/>
      <c r="R122" s="17"/>
      <c r="U122" s="50"/>
    </row>
    <row r="123" spans="1:24" s="49" customFormat="1" x14ac:dyDescent="0.2">
      <c r="A123" s="87"/>
      <c r="B123" s="87"/>
      <c r="C123" s="497"/>
      <c r="D123" s="497"/>
      <c r="E123" s="497"/>
      <c r="F123" s="497"/>
      <c r="G123" s="497"/>
      <c r="H123" s="497"/>
      <c r="I123" s="497"/>
      <c r="J123" s="497"/>
      <c r="K123" s="497"/>
      <c r="L123" s="497"/>
      <c r="M123" s="497"/>
      <c r="N123" s="497"/>
      <c r="O123" s="497"/>
      <c r="P123" s="497"/>
      <c r="Q123" s="87"/>
      <c r="R123" s="17"/>
      <c r="U123" s="50"/>
    </row>
    <row r="124" spans="1:24" s="49" customFormat="1" ht="15.75" thickBot="1" x14ac:dyDescent="0.25">
      <c r="A124" s="87"/>
      <c r="B124" s="87"/>
      <c r="C124" s="498"/>
      <c r="D124" s="498"/>
      <c r="E124" s="498"/>
      <c r="F124" s="498"/>
      <c r="G124" s="498"/>
      <c r="H124" s="498"/>
      <c r="I124" s="498"/>
      <c r="J124" s="498"/>
      <c r="K124" s="498"/>
      <c r="L124" s="498"/>
      <c r="M124" s="498"/>
      <c r="N124" s="498"/>
      <c r="O124" s="498"/>
      <c r="P124" s="498"/>
      <c r="Q124" s="87"/>
      <c r="R124" s="17"/>
      <c r="U124" s="50"/>
    </row>
    <row r="125" spans="1:24" s="10" customFormat="1" ht="12" thickBot="1" x14ac:dyDescent="0.25">
      <c r="C125" s="6"/>
      <c r="D125" s="6"/>
      <c r="E125" s="6"/>
      <c r="F125" s="7"/>
      <c r="G125" s="8"/>
      <c r="H125" s="8"/>
      <c r="I125" s="9"/>
      <c r="J125" s="9"/>
      <c r="P125" s="4"/>
      <c r="U125" s="11"/>
    </row>
    <row r="126" spans="1:24" s="34" customFormat="1" ht="16.5" thickBot="1" x14ac:dyDescent="0.25">
      <c r="A126" s="84"/>
      <c r="B126" s="84"/>
      <c r="C126" s="30">
        <v>1</v>
      </c>
      <c r="D126" s="31" t="s">
        <v>1539</v>
      </c>
      <c r="E126" s="32"/>
      <c r="F126" s="32"/>
      <c r="G126" s="32"/>
      <c r="H126" s="32"/>
      <c r="I126" s="32"/>
      <c r="J126" s="32"/>
      <c r="K126" s="32"/>
      <c r="L126" s="32"/>
      <c r="M126" s="32"/>
      <c r="N126" s="32"/>
      <c r="O126" s="32"/>
      <c r="P126" s="33"/>
      <c r="Q126" s="84"/>
      <c r="U126" s="35"/>
    </row>
    <row r="127" spans="1:24" s="40" customFormat="1" ht="16.5" customHeight="1" thickBot="1" x14ac:dyDescent="0.25">
      <c r="A127" s="85"/>
      <c r="B127" s="85"/>
      <c r="C127" s="36" t="s">
        <v>20</v>
      </c>
      <c r="D127" s="37" t="s">
        <v>2123</v>
      </c>
      <c r="E127" s="38"/>
      <c r="F127" s="38"/>
      <c r="G127" s="38"/>
      <c r="H127" s="38"/>
      <c r="I127" s="38"/>
      <c r="J127" s="38"/>
      <c r="K127" s="38"/>
      <c r="L127" s="38"/>
      <c r="M127" s="38"/>
      <c r="N127" s="38"/>
      <c r="O127" s="38"/>
      <c r="P127" s="39"/>
      <c r="Q127" s="85"/>
      <c r="U127" s="41"/>
    </row>
    <row r="128" spans="1:24" s="10" customFormat="1" ht="11.25" x14ac:dyDescent="0.2">
      <c r="C128" s="6"/>
      <c r="D128" s="6"/>
      <c r="E128" s="6"/>
      <c r="F128" s="7"/>
      <c r="G128" s="8"/>
      <c r="H128" s="8"/>
      <c r="I128" s="9"/>
      <c r="J128" s="9"/>
      <c r="O128" s="4"/>
      <c r="P128" s="5"/>
      <c r="U128" s="11"/>
    </row>
    <row r="129" spans="1:24" ht="18" thickBot="1" x14ac:dyDescent="0.25">
      <c r="C129" s="66" t="s">
        <v>34</v>
      </c>
      <c r="D129" s="537" t="s">
        <v>2118</v>
      </c>
      <c r="E129" s="538"/>
      <c r="F129" s="539"/>
      <c r="G129" s="540" t="s">
        <v>35</v>
      </c>
      <c r="H129" s="541"/>
      <c r="I129" s="42" t="s">
        <v>2119</v>
      </c>
      <c r="J129" s="279"/>
      <c r="K129" s="66" t="s">
        <v>36</v>
      </c>
      <c r="L129" s="281" t="s">
        <v>2120</v>
      </c>
      <c r="M129" s="281"/>
      <c r="N129" s="260"/>
      <c r="O129" s="66" t="s">
        <v>37</v>
      </c>
      <c r="P129" s="43">
        <v>44708</v>
      </c>
    </row>
    <row r="130" spans="1:24" ht="18.75" thickTop="1" thickBot="1" x14ac:dyDescent="0.25">
      <c r="C130" s="66" t="s">
        <v>34</v>
      </c>
      <c r="D130" s="530" t="s">
        <v>2121</v>
      </c>
      <c r="E130" s="531"/>
      <c r="F130" s="532"/>
      <c r="G130" s="533" t="s">
        <v>35</v>
      </c>
      <c r="H130" s="534"/>
      <c r="I130" s="44" t="s">
        <v>1320</v>
      </c>
      <c r="J130" s="279"/>
      <c r="K130" s="66" t="s">
        <v>36</v>
      </c>
      <c r="L130" s="378" t="s">
        <v>2122</v>
      </c>
      <c r="M130" s="282"/>
      <c r="N130" s="260"/>
      <c r="O130" s="66" t="s">
        <v>37</v>
      </c>
      <c r="P130" s="45">
        <v>44711</v>
      </c>
    </row>
    <row r="131" spans="1:24" ht="18.75" thickTop="1" thickBot="1" x14ac:dyDescent="0.25">
      <c r="C131" s="66" t="s">
        <v>34</v>
      </c>
      <c r="D131" s="530" t="s">
        <v>2282</v>
      </c>
      <c r="E131" s="531"/>
      <c r="F131" s="532"/>
      <c r="G131" s="533" t="s">
        <v>35</v>
      </c>
      <c r="H131" s="534"/>
      <c r="I131" s="44" t="s">
        <v>2283</v>
      </c>
      <c r="J131" s="279"/>
      <c r="K131" s="66" t="s">
        <v>36</v>
      </c>
      <c r="L131" s="282" t="s">
        <v>2284</v>
      </c>
      <c r="M131" s="282"/>
      <c r="N131" s="260"/>
      <c r="O131" s="66" t="s">
        <v>37</v>
      </c>
      <c r="P131" s="45"/>
    </row>
    <row r="132" spans="1:24" ht="18.75" thickTop="1" thickBot="1" x14ac:dyDescent="0.25">
      <c r="C132" s="66" t="s">
        <v>34</v>
      </c>
      <c r="D132" s="530"/>
      <c r="E132" s="531"/>
      <c r="F132" s="532"/>
      <c r="G132" s="533" t="s">
        <v>35</v>
      </c>
      <c r="H132" s="534"/>
      <c r="I132" s="44"/>
      <c r="J132" s="279"/>
      <c r="K132" s="66" t="s">
        <v>36</v>
      </c>
      <c r="L132" s="282"/>
      <c r="M132" s="282"/>
      <c r="N132" s="260"/>
      <c r="O132" s="66" t="s">
        <v>37</v>
      </c>
      <c r="P132" s="45"/>
    </row>
    <row r="133" spans="1:24" ht="18.75" thickTop="1" thickBot="1" x14ac:dyDescent="0.25">
      <c r="C133" s="66" t="s">
        <v>34</v>
      </c>
      <c r="D133" s="530"/>
      <c r="E133" s="531"/>
      <c r="F133" s="532"/>
      <c r="G133" s="533" t="s">
        <v>35</v>
      </c>
      <c r="H133" s="534"/>
      <c r="I133" s="44"/>
      <c r="J133" s="279"/>
      <c r="K133" s="66" t="s">
        <v>36</v>
      </c>
      <c r="L133" s="282"/>
      <c r="M133" s="282"/>
      <c r="N133" s="260"/>
      <c r="O133" s="66" t="s">
        <v>37</v>
      </c>
      <c r="P133" s="45"/>
    </row>
    <row r="134" spans="1:24" ht="16.5" thickTop="1" thickBot="1" x14ac:dyDescent="0.25"/>
    <row r="135" spans="1:24" ht="15" customHeight="1" x14ac:dyDescent="0.2">
      <c r="C135" s="509" t="s">
        <v>19</v>
      </c>
      <c r="D135" s="499" t="s">
        <v>7</v>
      </c>
      <c r="E135" s="512"/>
      <c r="F135" s="500"/>
      <c r="G135" s="519" t="s">
        <v>30</v>
      </c>
      <c r="H135" s="522" t="s">
        <v>38</v>
      </c>
      <c r="I135" s="499" t="s">
        <v>39</v>
      </c>
      <c r="J135" s="500"/>
      <c r="K135" s="499" t="s">
        <v>39</v>
      </c>
      <c r="L135" s="500"/>
      <c r="M135" s="499" t="s">
        <v>39</v>
      </c>
      <c r="N135" s="500"/>
      <c r="O135" s="499" t="s">
        <v>1476</v>
      </c>
      <c r="P135" s="563"/>
    </row>
    <row r="136" spans="1:24" x14ac:dyDescent="0.2">
      <c r="C136" s="510"/>
      <c r="D136" s="513"/>
      <c r="E136" s="514"/>
      <c r="F136" s="515"/>
      <c r="G136" s="520"/>
      <c r="H136" s="523"/>
      <c r="I136" s="501" t="str">
        <f>D129</f>
        <v>POWER</v>
      </c>
      <c r="J136" s="502"/>
      <c r="K136" s="501" t="str">
        <f>D130</f>
        <v>G3</v>
      </c>
      <c r="L136" s="502"/>
      <c r="M136" s="501" t="str">
        <f>D131</f>
        <v>TTL</v>
      </c>
      <c r="N136" s="502"/>
      <c r="O136" s="564"/>
      <c r="P136" s="565"/>
    </row>
    <row r="137" spans="1:24" ht="15" customHeight="1" x14ac:dyDescent="0.2">
      <c r="C137" s="510"/>
      <c r="D137" s="513"/>
      <c r="E137" s="514"/>
      <c r="F137" s="515"/>
      <c r="G137" s="520"/>
      <c r="H137" s="523"/>
      <c r="I137" s="528" t="s">
        <v>1474</v>
      </c>
      <c r="J137" s="528" t="s">
        <v>1475</v>
      </c>
      <c r="K137" s="528" t="s">
        <v>1474</v>
      </c>
      <c r="L137" s="528" t="s">
        <v>1475</v>
      </c>
      <c r="M137" s="528" t="s">
        <v>1474</v>
      </c>
      <c r="N137" s="528" t="s">
        <v>1475</v>
      </c>
      <c r="O137" s="528" t="s">
        <v>89</v>
      </c>
      <c r="P137" s="562" t="s">
        <v>114</v>
      </c>
    </row>
    <row r="138" spans="1:24" ht="15.75" thickBot="1" x14ac:dyDescent="0.25">
      <c r="C138" s="511"/>
      <c r="D138" s="516"/>
      <c r="E138" s="517"/>
      <c r="F138" s="518"/>
      <c r="G138" s="521"/>
      <c r="H138" s="524"/>
      <c r="I138" s="529"/>
      <c r="J138" s="529"/>
      <c r="K138" s="529"/>
      <c r="L138" s="529"/>
      <c r="M138" s="529"/>
      <c r="N138" s="529"/>
      <c r="O138" s="529"/>
      <c r="P138" s="527"/>
    </row>
    <row r="139" spans="1:24" ht="15.75" thickBot="1" x14ac:dyDescent="0.25">
      <c r="S139" s="200"/>
      <c r="T139" s="200"/>
    </row>
    <row r="140" spans="1:24" s="67" customFormat="1" x14ac:dyDescent="0.2">
      <c r="A140" s="86"/>
      <c r="B140" s="86"/>
      <c r="C140" s="68"/>
      <c r="D140" s="503"/>
      <c r="E140" s="504"/>
      <c r="F140" s="505"/>
      <c r="G140" s="69"/>
      <c r="H140" s="69"/>
      <c r="I140" s="70"/>
      <c r="J140" s="70"/>
      <c r="K140" s="70"/>
      <c r="L140" s="70"/>
      <c r="M140" s="70"/>
      <c r="N140" s="70"/>
      <c r="O140" s="70"/>
      <c r="P140" s="71"/>
      <c r="Q140" s="86"/>
      <c r="R140" s="17"/>
      <c r="S140" s="17"/>
      <c r="T140" s="17"/>
      <c r="U140" s="73"/>
    </row>
    <row r="141" spans="1:24" ht="30" customHeight="1" x14ac:dyDescent="0.2">
      <c r="B141" s="83" t="s">
        <v>1564</v>
      </c>
      <c r="C141" s="74">
        <v>1</v>
      </c>
      <c r="D141" s="506" t="str">
        <f>IFERROR(VLOOKUP(B141,Fontes!$A$9:$AC$6124,2,FALSE),0)</f>
        <v>Cabo multipolar 3x#1,5mm² HEPR 90°C - 0,6/1kV - LSOH baixa emissão de fumaça e livre de halogênio, veias nas cores preta, branca e verde</v>
      </c>
      <c r="E141" s="507">
        <f>IFERROR(VLOOKUP(D141,Planilha!$B$10:$AC$943,4,FALSE),0)</f>
        <v>0</v>
      </c>
      <c r="F141" s="508">
        <f>IFERROR(VLOOKUP(E141,Planilha!$B$10:$AC$943,4,FALSE),0)</f>
        <v>0</v>
      </c>
      <c r="G141" s="75" t="str">
        <f>IFERROR(VLOOKUP(B141,Fontes!$A$9:$AC$6124,3,FALSE),0)</f>
        <v>m</v>
      </c>
      <c r="H141" s="76">
        <v>1</v>
      </c>
      <c r="I141" s="77">
        <v>7.6499999999999995</v>
      </c>
      <c r="J141" s="264">
        <v>4.5</v>
      </c>
      <c r="K141" s="77">
        <v>12.015000000000001</v>
      </c>
      <c r="L141" s="264">
        <v>12.13560407127042</v>
      </c>
      <c r="M141" s="77"/>
      <c r="N141" s="264"/>
      <c r="O141" s="78">
        <f t="shared" ref="O141:O204" si="10">IFERROR(+MIN(I141,K141,M141),0)</f>
        <v>7.6499999999999995</v>
      </c>
      <c r="P141" s="78">
        <f t="shared" ref="P141:P204" si="11">IFERROR(+MIN(J141,L141,N141),0)</f>
        <v>4.5</v>
      </c>
      <c r="S141" s="18"/>
      <c r="T141" s="18"/>
      <c r="W141" s="53"/>
      <c r="X141" s="53"/>
    </row>
    <row r="142" spans="1:24" ht="39.75" customHeight="1" x14ac:dyDescent="0.2">
      <c r="B142" s="83" t="s">
        <v>1565</v>
      </c>
      <c r="C142" s="74">
        <v>2</v>
      </c>
      <c r="D142" s="506" t="str">
        <f>IFERROR(VLOOKUP(B142,Fontes!$A$9:$AC$6124,2,FALSE),0)</f>
        <v>Cabo isolado flexível de cobre com isolação em composto termoplástico com base poliolefínica não halogenada tipo LSZH (Low Smoke Zero
Halogen) - 750 V - 70° C  #  2,5 mm²</v>
      </c>
      <c r="E142" s="507">
        <f>IFERROR(VLOOKUP(D142,Planilha!$B$10:$AC$943,4,FALSE),0)</f>
        <v>0</v>
      </c>
      <c r="F142" s="508">
        <f>IFERROR(VLOOKUP(E142,Planilha!$B$10:$AC$943,4,FALSE),0)</f>
        <v>0</v>
      </c>
      <c r="G142" s="75" t="str">
        <f>IFERROR(VLOOKUP(B142,Fontes!$A$9:$AC$6124,3,FALSE),0)</f>
        <v>m</v>
      </c>
      <c r="H142" s="76">
        <v>1</v>
      </c>
      <c r="I142" s="77">
        <v>3.9439999999999995</v>
      </c>
      <c r="J142" s="264">
        <v>4.5</v>
      </c>
      <c r="K142" s="77">
        <v>3.2130000000000001</v>
      </c>
      <c r="L142" s="264">
        <v>3.2452514258004039</v>
      </c>
      <c r="M142" s="77"/>
      <c r="N142" s="264"/>
      <c r="O142" s="78">
        <f t="shared" si="10"/>
        <v>3.2130000000000001</v>
      </c>
      <c r="P142" s="78">
        <f t="shared" si="11"/>
        <v>3.2452514258004039</v>
      </c>
      <c r="S142" s="18"/>
      <c r="T142" s="18"/>
      <c r="W142" s="53"/>
      <c r="X142" s="53"/>
    </row>
    <row r="143" spans="1:24" ht="31.5" customHeight="1" x14ac:dyDescent="0.2">
      <c r="B143" s="83" t="s">
        <v>1566</v>
      </c>
      <c r="C143" s="74">
        <v>3</v>
      </c>
      <c r="D143" s="506" t="str">
        <f>IFERROR(VLOOKUP(B143,Fontes!$A$9:$AC$6124,2,FALSE),0)</f>
        <v>Cabo isolado flexível de cobre com isolação em composto termoplástico com base poliolefínica não halogenada tipo LSZH (Low Smoke Zero Halogen) - 750 V - 70° C   #   4 mm²</v>
      </c>
      <c r="E143" s="507">
        <f>IFERROR(VLOOKUP(D143,Planilha!$B$10:$AC$943,4,FALSE),0)</f>
        <v>0</v>
      </c>
      <c r="F143" s="508">
        <f>IFERROR(VLOOKUP(E143,Planilha!$B$10:$AC$943,4,FALSE),0)</f>
        <v>0</v>
      </c>
      <c r="G143" s="75" t="str">
        <f>IFERROR(VLOOKUP(B143,Fontes!$A$9:$AC$6124,3,FALSE),0)</f>
        <v>m</v>
      </c>
      <c r="H143" s="76">
        <v>1</v>
      </c>
      <c r="I143" s="77">
        <v>6.2389999999999999</v>
      </c>
      <c r="J143" s="264">
        <v>7.5</v>
      </c>
      <c r="K143" s="77">
        <v>5.0490000000000004</v>
      </c>
      <c r="L143" s="264">
        <v>5.099680811972064</v>
      </c>
      <c r="M143" s="77"/>
      <c r="N143" s="264"/>
      <c r="O143" s="78">
        <f t="shared" si="10"/>
        <v>5.0490000000000004</v>
      </c>
      <c r="P143" s="78">
        <f t="shared" si="11"/>
        <v>5.099680811972064</v>
      </c>
      <c r="S143" s="18"/>
      <c r="T143" s="18"/>
      <c r="W143" s="53"/>
      <c r="X143" s="53"/>
    </row>
    <row r="144" spans="1:24" ht="30" customHeight="1" x14ac:dyDescent="0.2">
      <c r="B144" s="83" t="s">
        <v>1567</v>
      </c>
      <c r="C144" s="74">
        <v>4</v>
      </c>
      <c r="D144" s="506" t="str">
        <f>IFERROR(VLOOKUP(B144,Fontes!$A$9:$AC$6124,2,FALSE),0)</f>
        <v>Cabo isolado flexível de cobre com isolação em composto termoplástico com base poliolefínica não halogenada tipo LSZH (Low Smoke Zero Halogen) - 750 V - 70° C   #   6 mm²</v>
      </c>
      <c r="E144" s="507">
        <f>IFERROR(VLOOKUP(D144,Planilha!$B$10:$AC$943,4,FALSE),0)</f>
        <v>0</v>
      </c>
      <c r="F144" s="508">
        <f>IFERROR(VLOOKUP(E144,Planilha!$B$10:$AC$943,4,FALSE),0)</f>
        <v>0</v>
      </c>
      <c r="G144" s="75" t="str">
        <f>IFERROR(VLOOKUP(B144,Fontes!$A$9:$AC$6124,3,FALSE),0)</f>
        <v>m</v>
      </c>
      <c r="H144" s="76">
        <v>1</v>
      </c>
      <c r="I144" s="77">
        <v>9.7750000000000004</v>
      </c>
      <c r="J144" s="264">
        <v>7.5</v>
      </c>
      <c r="K144" s="77">
        <v>7.479000000000001</v>
      </c>
      <c r="L144" s="264">
        <v>7.5540726466110248</v>
      </c>
      <c r="M144" s="77"/>
      <c r="N144" s="264"/>
      <c r="O144" s="78">
        <f t="shared" si="10"/>
        <v>7.479000000000001</v>
      </c>
      <c r="P144" s="78">
        <f t="shared" si="11"/>
        <v>7.5</v>
      </c>
      <c r="S144" s="18"/>
      <c r="T144" s="18"/>
      <c r="W144" s="53"/>
      <c r="X144" s="53"/>
    </row>
    <row r="145" spans="2:24" ht="39.75" customHeight="1" x14ac:dyDescent="0.2">
      <c r="B145" s="83" t="s">
        <v>1568</v>
      </c>
      <c r="C145" s="74">
        <v>5</v>
      </c>
      <c r="D145" s="506" t="str">
        <f>IFERROR(VLOOKUP(B145,Fontes!$A$9:$AC$6124,2,FALSE),0)</f>
        <v>Cabo isolado flexível de cobre com isolação em composto termoplástico com base poliolefínica não halogenada tipo LSZH (Low Smoke Zero
Halogen) - 750 V - 70° C   #  10 mm²</v>
      </c>
      <c r="E145" s="507">
        <f>IFERROR(VLOOKUP(D145,Planilha!$B$10:$AC$943,4,FALSE),0)</f>
        <v>0</v>
      </c>
      <c r="F145" s="508">
        <f>IFERROR(VLOOKUP(E145,Planilha!$B$10:$AC$943,4,FALSE),0)</f>
        <v>0</v>
      </c>
      <c r="G145" s="75" t="str">
        <f>IFERROR(VLOOKUP(B145,Fontes!$A$9:$AC$6124,3,FALSE),0)</f>
        <v>m</v>
      </c>
      <c r="H145" s="76">
        <v>1</v>
      </c>
      <c r="I145" s="77">
        <v>13.735999999999999</v>
      </c>
      <c r="J145" s="264">
        <v>9</v>
      </c>
      <c r="K145" s="77">
        <v>13.689000000000002</v>
      </c>
      <c r="L145" s="264">
        <v>13.826407335132815</v>
      </c>
      <c r="M145" s="77"/>
      <c r="N145" s="264"/>
      <c r="O145" s="78">
        <f t="shared" si="10"/>
        <v>13.689000000000002</v>
      </c>
      <c r="P145" s="78">
        <f t="shared" si="11"/>
        <v>9</v>
      </c>
      <c r="S145" s="18"/>
      <c r="T145" s="18"/>
      <c r="W145" s="53"/>
      <c r="X145" s="53"/>
    </row>
    <row r="146" spans="2:24" ht="30" customHeight="1" x14ac:dyDescent="0.2">
      <c r="B146" s="83" t="s">
        <v>1569</v>
      </c>
      <c r="C146" s="74">
        <v>6</v>
      </c>
      <c r="D146" s="506" t="str">
        <f>IFERROR(VLOOKUP(B146,Fontes!$A$9:$AC$6124,2,FALSE),0)</f>
        <v>Cabo isolado flexível de cobre com isolação em composto termoplástico com base poliolefínica não halogenada tipo LSZH (Low Smoke Zero Halogen) - 750 V - 70° C   #  16 mm²</v>
      </c>
      <c r="E146" s="507">
        <f>IFERROR(VLOOKUP(D146,Planilha!$B$10:$AC$943,4,FALSE),0)</f>
        <v>0</v>
      </c>
      <c r="F146" s="508">
        <f>IFERROR(VLOOKUP(E146,Planilha!$B$10:$AC$943,4,FALSE),0)</f>
        <v>0</v>
      </c>
      <c r="G146" s="75" t="str">
        <f>IFERROR(VLOOKUP(B146,Fontes!$A$9:$AC$6124,3,FALSE),0)</f>
        <v>m</v>
      </c>
      <c r="H146" s="75">
        <v>1</v>
      </c>
      <c r="I146" s="77">
        <v>25.108999999999998</v>
      </c>
      <c r="J146" s="264">
        <v>9</v>
      </c>
      <c r="K146" s="77">
        <v>20.992500000000003</v>
      </c>
      <c r="L146" s="264">
        <v>21.203218349242142</v>
      </c>
      <c r="M146" s="77"/>
      <c r="N146" s="264"/>
      <c r="O146" s="78">
        <f t="shared" si="10"/>
        <v>20.992500000000003</v>
      </c>
      <c r="P146" s="78">
        <f t="shared" si="11"/>
        <v>9</v>
      </c>
      <c r="S146" s="18"/>
      <c r="T146" s="18"/>
      <c r="W146" s="53"/>
      <c r="X146" s="53"/>
    </row>
    <row r="147" spans="2:24" ht="35.25" customHeight="1" x14ac:dyDescent="0.2">
      <c r="B147" s="83" t="s">
        <v>1570</v>
      </c>
      <c r="C147" s="74">
        <v>7</v>
      </c>
      <c r="D147" s="506" t="str">
        <f>IFERROR(VLOOKUP(B147,Fontes!$A$9:$AC$6124,2,FALSE),0)</f>
        <v>Cabo isolado flexível de cobre com isolação em composto termoplástico com base poliolefínica não halogenada tipo LSZH (Low Smoke Zero
Halogen) - 750 V - 70° C   #  25 mm²</v>
      </c>
      <c r="E147" s="507">
        <f>IFERROR(VLOOKUP(D147,Planilha!$B$10:$AC$943,4,FALSE),0)</f>
        <v>0</v>
      </c>
      <c r="F147" s="508">
        <f>IFERROR(VLOOKUP(E147,Planilha!$B$10:$AC$943,4,FALSE),0)</f>
        <v>0</v>
      </c>
      <c r="G147" s="75" t="str">
        <f>IFERROR(VLOOKUP(B147,Fontes!$A$9:$AC$6124,3,FALSE),0)</f>
        <v>m</v>
      </c>
      <c r="H147" s="75">
        <v>1</v>
      </c>
      <c r="I147" s="77">
        <v>32.350999999999999</v>
      </c>
      <c r="J147" s="264">
        <v>15</v>
      </c>
      <c r="K147" s="77">
        <v>32.562000000000005</v>
      </c>
      <c r="L147" s="264">
        <v>32.888850584162086</v>
      </c>
      <c r="M147" s="77"/>
      <c r="N147" s="264"/>
      <c r="O147" s="78">
        <f t="shared" si="10"/>
        <v>32.350999999999999</v>
      </c>
      <c r="P147" s="78">
        <f t="shared" si="11"/>
        <v>15</v>
      </c>
      <c r="S147" s="18"/>
      <c r="T147" s="18"/>
      <c r="W147" s="53"/>
      <c r="X147" s="53"/>
    </row>
    <row r="148" spans="2:24" ht="30" customHeight="1" x14ac:dyDescent="0.2">
      <c r="B148" s="83" t="s">
        <v>1571</v>
      </c>
      <c r="C148" s="74">
        <v>8</v>
      </c>
      <c r="D148" s="506" t="str">
        <f>IFERROR(VLOOKUP(B148,Fontes!$A$9:$AC$6124,2,FALSE),0)</f>
        <v>Cabo isolado flexível de cobre com isolação em composto termoplástico com base poliolefínica não halogenada tipo LSZH (Low Smoke Zero Halogen) - 750 V - 70° C   #  35 mm²</v>
      </c>
      <c r="E148" s="507">
        <f>IFERROR(VLOOKUP(D148,Planilha!$B$10:$AC$943,4,FALSE),0)</f>
        <v>0</v>
      </c>
      <c r="F148" s="508">
        <f>IFERROR(VLOOKUP(E148,Planilha!$B$10:$AC$943,4,FALSE),0)</f>
        <v>0</v>
      </c>
      <c r="G148" s="75" t="str">
        <f>IFERROR(VLOOKUP(B148,Fontes!$A$9:$AC$6124,3,FALSE),0)</f>
        <v>m</v>
      </c>
      <c r="H148" s="75">
        <v>1</v>
      </c>
      <c r="I148" s="77">
        <v>45.798000000000002</v>
      </c>
      <c r="J148" s="264">
        <v>19.5</v>
      </c>
      <c r="K148" s="77">
        <v>44.982000000000006</v>
      </c>
      <c r="L148" s="264">
        <v>45.433519961205668</v>
      </c>
      <c r="M148" s="77"/>
      <c r="N148" s="264"/>
      <c r="O148" s="78">
        <f t="shared" si="10"/>
        <v>44.982000000000006</v>
      </c>
      <c r="P148" s="78">
        <f t="shared" si="11"/>
        <v>19.5</v>
      </c>
      <c r="S148" s="18"/>
      <c r="T148" s="18"/>
      <c r="W148" s="53"/>
      <c r="X148" s="53"/>
    </row>
    <row r="149" spans="2:24" ht="40.5" customHeight="1" x14ac:dyDescent="0.2">
      <c r="B149" s="83" t="s">
        <v>1572</v>
      </c>
      <c r="C149" s="74">
        <v>9</v>
      </c>
      <c r="D149" s="506" t="str">
        <f>IFERROR(VLOOKUP(B149,Fontes!$A$9:$AC$6124,2,FALSE),0)</f>
        <v>Cabo isolado flexível de cobre com isolação em composto termoplástico com base poliolefínica não halogenada tipo LSZH (Low Smoke Zero
Halogen) - 750 V - 70° C   #  240 mm²</v>
      </c>
      <c r="E149" s="507">
        <f>IFERROR(VLOOKUP(D149,Planilha!$B$10:$AC$943,4,FALSE),0)</f>
        <v>0</v>
      </c>
      <c r="F149" s="508">
        <f>IFERROR(VLOOKUP(E149,Planilha!$B$10:$AC$943,4,FALSE),0)</f>
        <v>0</v>
      </c>
      <c r="G149" s="75" t="str">
        <f>IFERROR(VLOOKUP(B149,Fontes!$A$9:$AC$6124,3,FALSE),0)</f>
        <v>m</v>
      </c>
      <c r="H149" s="75">
        <v>1</v>
      </c>
      <c r="I149" s="77">
        <v>282.79499999999996</v>
      </c>
      <c r="J149" s="264">
        <v>180</v>
      </c>
      <c r="K149" s="77">
        <v>217.98450000000003</v>
      </c>
      <c r="L149" s="264">
        <v>220.17258307730728</v>
      </c>
      <c r="M149" s="77"/>
      <c r="N149" s="264"/>
      <c r="O149" s="78">
        <f t="shared" si="10"/>
        <v>217.98450000000003</v>
      </c>
      <c r="P149" s="78">
        <f t="shared" si="11"/>
        <v>180</v>
      </c>
      <c r="S149" s="18"/>
      <c r="T149" s="18"/>
      <c r="W149" s="53"/>
      <c r="X149" s="53"/>
    </row>
    <row r="150" spans="2:24" ht="30" customHeight="1" x14ac:dyDescent="0.2">
      <c r="B150" s="83" t="s">
        <v>1573</v>
      </c>
      <c r="C150" s="74">
        <v>10</v>
      </c>
      <c r="D150" s="506" t="str">
        <f>IFERROR(VLOOKUP(B150,Fontes!$A$9:$AC$6124,2,FALSE),0)</f>
        <v>Cabo isolado flexível de cobre com isolação em HEPR e cobertura  em composto termoplástico com base poliolefínica não halogenada tipo LSZH
(Low Smoke Zero Halogen) - 0,6/1KV – 90° C   #   6 mm²</v>
      </c>
      <c r="E150" s="507">
        <f>IFERROR(VLOOKUP(D150,Planilha!$B$10:$AC$943,4,FALSE),0)</f>
        <v>0</v>
      </c>
      <c r="F150" s="508">
        <f>IFERROR(VLOOKUP(E150,Planilha!$B$10:$AC$943,4,FALSE),0)</f>
        <v>0</v>
      </c>
      <c r="G150" s="75" t="str">
        <f>IFERROR(VLOOKUP(B150,Fontes!$A$9:$AC$6124,3,FALSE),0)</f>
        <v>m</v>
      </c>
      <c r="H150" s="75">
        <v>1</v>
      </c>
      <c r="I150" s="77">
        <v>8.2620000000000005</v>
      </c>
      <c r="J150" s="264">
        <v>9</v>
      </c>
      <c r="K150" s="77">
        <v>7.479000000000001</v>
      </c>
      <c r="L150" s="264">
        <v>7.5540726466110257</v>
      </c>
      <c r="M150" s="77"/>
      <c r="N150" s="264"/>
      <c r="O150" s="78">
        <f t="shared" si="10"/>
        <v>7.479000000000001</v>
      </c>
      <c r="P150" s="78">
        <f t="shared" si="11"/>
        <v>7.5540726466110257</v>
      </c>
      <c r="S150" s="18"/>
      <c r="T150" s="18"/>
      <c r="W150" s="53"/>
      <c r="X150" s="53"/>
    </row>
    <row r="151" spans="2:24" ht="36.75" customHeight="1" x14ac:dyDescent="0.2">
      <c r="B151" s="83" t="s">
        <v>1574</v>
      </c>
      <c r="C151" s="74">
        <v>11</v>
      </c>
      <c r="D151" s="506" t="str">
        <f>IFERROR(VLOOKUP(B151,Fontes!$A$9:$AC$6124,2,FALSE),0)</f>
        <v>Cabo isolado flexível de cobre com isolação em HEPR e cobertura  em composto termoplástico com base poliolefínica não halogenada tipo LSZH
(Low Smoke Zero Halogen) - 0,6/1KV -90° C   #  10 mm²</v>
      </c>
      <c r="E151" s="507">
        <f>IFERROR(VLOOKUP(D151,Planilha!$B$10:$AC$943,4,FALSE),0)</f>
        <v>0</v>
      </c>
      <c r="F151" s="508">
        <f>IFERROR(VLOOKUP(E151,Planilha!$B$10:$AC$943,4,FALSE),0)</f>
        <v>0</v>
      </c>
      <c r="G151" s="75" t="str">
        <f>IFERROR(VLOOKUP(B151,Fontes!$A$9:$AC$6124,3,FALSE),0)</f>
        <v>m</v>
      </c>
      <c r="H151" s="75">
        <v>1</v>
      </c>
      <c r="I151" s="77">
        <v>13.735999999999999</v>
      </c>
      <c r="J151" s="264">
        <v>9</v>
      </c>
      <c r="K151" s="77">
        <v>13.689000000000002</v>
      </c>
      <c r="L151" s="264">
        <v>13.826407335132815</v>
      </c>
      <c r="M151" s="77"/>
      <c r="N151" s="264"/>
      <c r="O151" s="78">
        <f t="shared" si="10"/>
        <v>13.689000000000002</v>
      </c>
      <c r="P151" s="78">
        <f t="shared" si="11"/>
        <v>9</v>
      </c>
      <c r="S151" s="18"/>
      <c r="T151" s="18"/>
      <c r="W151" s="53"/>
      <c r="X151" s="53"/>
    </row>
    <row r="152" spans="2:24" ht="36.75" customHeight="1" x14ac:dyDescent="0.2">
      <c r="B152" s="83" t="s">
        <v>1575</v>
      </c>
      <c r="C152" s="74">
        <v>12</v>
      </c>
      <c r="D152" s="506" t="str">
        <f>IFERROR(VLOOKUP(B152,Fontes!$A$9:$AC$6124,2,FALSE),0)</f>
        <v>Cabo isolado flexível de cobre com isolação em HEPR e cobertura  em composto termoplástico com base poliolefínica não halogenada tipo LSZH (Low Smoke Zero Halogen) - 0,6/1KV – 90° C   #  16 mm²</v>
      </c>
      <c r="E152" s="507">
        <f>IFERROR(VLOOKUP(D152,Planilha!$B$10:$AC$943,4,FALSE),0)</f>
        <v>0</v>
      </c>
      <c r="F152" s="508">
        <f>IFERROR(VLOOKUP(E152,Planilha!$B$10:$AC$943,4,FALSE),0)</f>
        <v>0</v>
      </c>
      <c r="G152" s="75" t="str">
        <f>IFERROR(VLOOKUP(B152,Fontes!$A$9:$AC$6124,3,FALSE),0)</f>
        <v>m</v>
      </c>
      <c r="H152" s="75">
        <v>1</v>
      </c>
      <c r="I152" s="77">
        <v>25.108999999999998</v>
      </c>
      <c r="J152" s="264">
        <v>9</v>
      </c>
      <c r="K152" s="77">
        <v>20.992500000000003</v>
      </c>
      <c r="L152" s="264">
        <v>21.203218349242139</v>
      </c>
      <c r="M152" s="77"/>
      <c r="N152" s="264"/>
      <c r="O152" s="78">
        <f t="shared" si="10"/>
        <v>20.992500000000003</v>
      </c>
      <c r="P152" s="78">
        <f t="shared" si="11"/>
        <v>9</v>
      </c>
      <c r="S152" s="18"/>
      <c r="T152" s="18"/>
      <c r="W152" s="53"/>
      <c r="X152" s="53"/>
    </row>
    <row r="153" spans="2:24" ht="37.5" customHeight="1" x14ac:dyDescent="0.2">
      <c r="B153" s="83" t="s">
        <v>1576</v>
      </c>
      <c r="C153" s="74">
        <v>13</v>
      </c>
      <c r="D153" s="506" t="str">
        <f>IFERROR(VLOOKUP(B153,Fontes!$A$9:$AC$6124,2,FALSE),0)</f>
        <v>Cabo isolado flexível de cobre com isolação em HEPR e cobertura  em composto termoplástico com base poliolefínica não halogenada tipo LSZH
(Low Smoke Zero Halogen) - 0,6/1KV – 90° C   #  25mm²</v>
      </c>
      <c r="E153" s="507">
        <f>IFERROR(VLOOKUP(D153,Planilha!$B$10:$AC$943,4,FALSE),0)</f>
        <v>0</v>
      </c>
      <c r="F153" s="508">
        <f>IFERROR(VLOOKUP(E153,Planilha!$B$10:$AC$943,4,FALSE),0)</f>
        <v>0</v>
      </c>
      <c r="G153" s="75" t="str">
        <f>IFERROR(VLOOKUP(B153,Fontes!$A$9:$AC$6124,3,FALSE),0)</f>
        <v>m</v>
      </c>
      <c r="H153" s="75">
        <v>1</v>
      </c>
      <c r="I153" s="77">
        <v>32.350999999999999</v>
      </c>
      <c r="J153" s="264">
        <v>15</v>
      </c>
      <c r="K153" s="77">
        <v>32.562000000000005</v>
      </c>
      <c r="L153" s="264">
        <v>32.888850584162086</v>
      </c>
      <c r="M153" s="77"/>
      <c r="N153" s="264"/>
      <c r="O153" s="78">
        <f t="shared" si="10"/>
        <v>32.350999999999999</v>
      </c>
      <c r="P153" s="78">
        <f t="shared" si="11"/>
        <v>15</v>
      </c>
      <c r="S153" s="18"/>
      <c r="T153" s="18"/>
      <c r="W153" s="53"/>
      <c r="X153" s="53"/>
    </row>
    <row r="154" spans="2:24" ht="37.5" customHeight="1" x14ac:dyDescent="0.2">
      <c r="B154" s="83" t="s">
        <v>1577</v>
      </c>
      <c r="C154" s="74">
        <v>14</v>
      </c>
      <c r="D154" s="506" t="str">
        <f>IFERROR(VLOOKUP(B154,Fontes!$A$9:$AC$6124,2,FALSE),0)</f>
        <v>Cabo isolado flexível de cobre com isolação  em HEPR e cobertura  em composto termoplástico com base poliolefínica não halogenada tipo LSZH
(Low Smoke Zero Halogen) - 0,6/1KV – 90° C   #  50 mm²</v>
      </c>
      <c r="E154" s="507">
        <f>IFERROR(VLOOKUP(D154,Planilha!$B$10:$AC$943,4,FALSE),0)</f>
        <v>0</v>
      </c>
      <c r="F154" s="508">
        <f>IFERROR(VLOOKUP(E154,Planilha!$B$10:$AC$943,4,FALSE),0)</f>
        <v>0</v>
      </c>
      <c r="G154" s="75" t="str">
        <f>IFERROR(VLOOKUP(B154,Fontes!$A$9:$AC$6124,3,FALSE),0)</f>
        <v>m</v>
      </c>
      <c r="H154" s="75">
        <v>1</v>
      </c>
      <c r="I154" s="77">
        <v>64.004999999999995</v>
      </c>
      <c r="J154" s="264">
        <v>30</v>
      </c>
      <c r="K154" s="77">
        <v>63.463500000000003</v>
      </c>
      <c r="L154" s="264">
        <v>64.100533414654208</v>
      </c>
      <c r="M154" s="77"/>
      <c r="N154" s="264"/>
      <c r="O154" s="78">
        <f t="shared" si="10"/>
        <v>63.463500000000003</v>
      </c>
      <c r="P154" s="78">
        <f t="shared" si="11"/>
        <v>30</v>
      </c>
      <c r="S154" s="18"/>
      <c r="T154" s="18"/>
      <c r="W154" s="53"/>
      <c r="X154" s="53"/>
    </row>
    <row r="155" spans="2:24" ht="40.5" customHeight="1" x14ac:dyDescent="0.2">
      <c r="B155" s="83" t="s">
        <v>1578</v>
      </c>
      <c r="C155" s="74">
        <v>15</v>
      </c>
      <c r="D155" s="506" t="str">
        <f>IFERROR(VLOOKUP(B155,Fontes!$A$9:$AC$6124,2,FALSE),0)</f>
        <v>Cabo isolado flexível de cobre com isolação em HEPR e cobertura  em composto termoplástico com base poliolefínica não halogenada tipo LSZH
(Low Smoke Zero Halogen) - 0,6/1KV – 90° C   #  95 mm²</v>
      </c>
      <c r="E155" s="507">
        <f>IFERROR(VLOOKUP(D155,Planilha!$B$10:$AC$943,4,FALSE),0)</f>
        <v>0</v>
      </c>
      <c r="F155" s="508">
        <f>IFERROR(VLOOKUP(E155,Planilha!$B$10:$AC$943,4,FALSE),0)</f>
        <v>0</v>
      </c>
      <c r="G155" s="75" t="str">
        <f>IFERROR(VLOOKUP(B155,Fontes!$A$9:$AC$6124,3,FALSE),0)</f>
        <v>m</v>
      </c>
      <c r="H155" s="75">
        <v>1</v>
      </c>
      <c r="I155" s="77">
        <v>121.71999999999998</v>
      </c>
      <c r="J155" s="264">
        <v>105</v>
      </c>
      <c r="K155" s="77">
        <v>120.285</v>
      </c>
      <c r="L155" s="264">
        <v>121.49239581462858</v>
      </c>
      <c r="M155" s="77"/>
      <c r="N155" s="264"/>
      <c r="O155" s="78">
        <f t="shared" si="10"/>
        <v>120.285</v>
      </c>
      <c r="P155" s="78">
        <f t="shared" si="11"/>
        <v>105</v>
      </c>
      <c r="S155" s="18"/>
      <c r="T155" s="18"/>
      <c r="W155" s="53"/>
      <c r="X155" s="53"/>
    </row>
    <row r="156" spans="2:24" ht="38.25" customHeight="1" x14ac:dyDescent="0.2">
      <c r="B156" s="83" t="s">
        <v>1579</v>
      </c>
      <c r="C156" s="74">
        <v>16</v>
      </c>
      <c r="D156" s="506" t="str">
        <f>IFERROR(VLOOKUP(B156,Fontes!$A$9:$AC$6124,2,FALSE),0)</f>
        <v>Cabo isolado flexível de cobre com isolação em HEPR e cobertura  em composto termoplástico com base poliolefínica não halogenada tipo LSZH (Low Smoke Zero Halogen) - 0,6/1KV – 90° C   #  240 mm²</v>
      </c>
      <c r="E156" s="507">
        <f>IFERROR(VLOOKUP(D156,Planilha!$B$10:$AC$943,4,FALSE),0)</f>
        <v>0</v>
      </c>
      <c r="F156" s="508">
        <f>IFERROR(VLOOKUP(E156,Planilha!$B$10:$AC$943,4,FALSE),0)</f>
        <v>0</v>
      </c>
      <c r="G156" s="75" t="str">
        <f>IFERROR(VLOOKUP(B156,Fontes!$A$9:$AC$6124,3,FALSE),0)</f>
        <v>m</v>
      </c>
      <c r="H156" s="75">
        <v>1</v>
      </c>
      <c r="I156" s="77">
        <v>282.79499999999996</v>
      </c>
      <c r="J156" s="264">
        <v>180</v>
      </c>
      <c r="K156" s="77">
        <v>298.053</v>
      </c>
      <c r="L156" s="264">
        <v>301.04479402866104</v>
      </c>
      <c r="M156" s="77"/>
      <c r="N156" s="264"/>
      <c r="O156" s="78">
        <f t="shared" si="10"/>
        <v>282.79499999999996</v>
      </c>
      <c r="P156" s="78">
        <f t="shared" si="11"/>
        <v>180</v>
      </c>
      <c r="S156" s="18"/>
      <c r="T156" s="18"/>
      <c r="W156" s="53"/>
      <c r="X156" s="53"/>
    </row>
    <row r="157" spans="2:24" ht="30" customHeight="1" x14ac:dyDescent="0.2">
      <c r="B157" s="83" t="s">
        <v>1580</v>
      </c>
      <c r="C157" s="74">
        <v>17</v>
      </c>
      <c r="D157" s="506" t="str">
        <f>IFERROR(VLOOKUP(B157,Fontes!$A$9:$AC$6124,2,FALSE),0)</f>
        <v>Eletroduto em aço galvanizado eletrolítico  Ø 3/4", inclusive conexões</v>
      </c>
      <c r="E157" s="507">
        <f>IFERROR(VLOOKUP(D157,Planilha!$B$10:$AC$943,4,FALSE),0)</f>
        <v>0</v>
      </c>
      <c r="F157" s="508">
        <f>IFERROR(VLOOKUP(E157,Planilha!$B$10:$AC$943,4,FALSE),0)</f>
        <v>0</v>
      </c>
      <c r="G157" s="75" t="str">
        <f>IFERROR(VLOOKUP(B157,Fontes!$A$9:$AC$6124,3,FALSE),0)</f>
        <v>m</v>
      </c>
      <c r="H157" s="75">
        <v>1</v>
      </c>
      <c r="I157" s="77">
        <v>11.798</v>
      </c>
      <c r="J157" s="264">
        <v>45</v>
      </c>
      <c r="K157" s="77">
        <v>32.562000000000005</v>
      </c>
      <c r="L157" s="264">
        <v>32.888850584162078</v>
      </c>
      <c r="M157" s="77"/>
      <c r="N157" s="264"/>
      <c r="O157" s="78">
        <f t="shared" si="10"/>
        <v>11.798</v>
      </c>
      <c r="P157" s="78">
        <f t="shared" si="11"/>
        <v>32.888850584162078</v>
      </c>
      <c r="S157" s="18"/>
      <c r="T157" s="18"/>
      <c r="W157" s="53"/>
      <c r="X157" s="53"/>
    </row>
    <row r="158" spans="2:24" ht="30" customHeight="1" x14ac:dyDescent="0.2">
      <c r="B158" s="83" t="s">
        <v>1581</v>
      </c>
      <c r="C158" s="74">
        <v>18</v>
      </c>
      <c r="D158" s="506" t="str">
        <f>IFERROR(VLOOKUP(B158,Fontes!$A$9:$AC$6124,2,FALSE),0)</f>
        <v>Eletroduto em aço galvanizado eletrolítico  Ø 1", inclusive conexões</v>
      </c>
      <c r="E158" s="507">
        <f>IFERROR(VLOOKUP(D158,Planilha!$B$10:$AC$943,4,FALSE),0)</f>
        <v>0</v>
      </c>
      <c r="F158" s="508">
        <f>IFERROR(VLOOKUP(E158,Planilha!$B$10:$AC$943,4,FALSE),0)</f>
        <v>0</v>
      </c>
      <c r="G158" s="75" t="str">
        <f>IFERROR(VLOOKUP(B158,Fontes!$A$9:$AC$6124,3,FALSE),0)</f>
        <v>m</v>
      </c>
      <c r="H158" s="75">
        <v>1</v>
      </c>
      <c r="I158" s="77">
        <v>14.886333333333331</v>
      </c>
      <c r="J158" s="264">
        <v>45</v>
      </c>
      <c r="K158" s="77">
        <v>40.554000000000002</v>
      </c>
      <c r="L158" s="264">
        <v>40.96107261808578</v>
      </c>
      <c r="M158" s="77"/>
      <c r="N158" s="264"/>
      <c r="O158" s="78">
        <f t="shared" si="10"/>
        <v>14.886333333333331</v>
      </c>
      <c r="P158" s="78">
        <f t="shared" si="11"/>
        <v>40.96107261808578</v>
      </c>
      <c r="S158" s="18"/>
      <c r="T158" s="18"/>
      <c r="W158" s="53"/>
      <c r="X158" s="53"/>
    </row>
    <row r="159" spans="2:24" ht="30" customHeight="1" x14ac:dyDescent="0.2">
      <c r="B159" s="83" t="s">
        <v>1582</v>
      </c>
      <c r="C159" s="74">
        <v>19</v>
      </c>
      <c r="D159" s="506" t="str">
        <f>IFERROR(VLOOKUP(B159,Fontes!$A$9:$AC$6124,2,FALSE),0)</f>
        <v>Eletroduto em aço galvanizado eletrolítico  Ø 1 1/2", inclusive conexões</v>
      </c>
      <c r="E159" s="507">
        <f>IFERROR(VLOOKUP(D159,Planilha!$B$10:$AC$943,4,FALSE),0)</f>
        <v>0</v>
      </c>
      <c r="F159" s="508">
        <f>IFERROR(VLOOKUP(E159,Planilha!$B$10:$AC$943,4,FALSE),0)</f>
        <v>0</v>
      </c>
      <c r="G159" s="75" t="str">
        <f>IFERROR(VLOOKUP(B159,Fontes!$A$9:$AC$6124,3,FALSE),0)</f>
        <v>m</v>
      </c>
      <c r="H159" s="75">
        <v>1</v>
      </c>
      <c r="I159" s="77">
        <v>31.370666666666665</v>
      </c>
      <c r="J159" s="264">
        <v>45</v>
      </c>
      <c r="K159" s="77">
        <v>62.950500000000005</v>
      </c>
      <c r="L159" s="264">
        <v>63.58238402734154</v>
      </c>
      <c r="M159" s="77"/>
      <c r="N159" s="264"/>
      <c r="O159" s="78">
        <f t="shared" si="10"/>
        <v>31.370666666666665</v>
      </c>
      <c r="P159" s="78">
        <f t="shared" si="11"/>
        <v>45</v>
      </c>
      <c r="S159" s="18"/>
      <c r="T159" s="18"/>
      <c r="W159" s="53"/>
      <c r="X159" s="53"/>
    </row>
    <row r="160" spans="2:24" ht="30" customHeight="1" x14ac:dyDescent="0.2">
      <c r="B160" s="83" t="s">
        <v>1583</v>
      </c>
      <c r="C160" s="74">
        <v>20</v>
      </c>
      <c r="D160" s="506" t="str">
        <f>IFERROR(VLOOKUP(B160,Fontes!$A$9:$AC$6124,2,FALSE),0)</f>
        <v>Eletroduto em aço galvanizado eletrolítico  Ø 2", inclusive conexões</v>
      </c>
      <c r="E160" s="507">
        <f>IFERROR(VLOOKUP(D160,Planilha!$B$10:$AC$943,4,FALSE),0)</f>
        <v>0</v>
      </c>
      <c r="F160" s="508">
        <f>IFERROR(VLOOKUP(E160,Planilha!$B$10:$AC$943,4,FALSE),0)</f>
        <v>0</v>
      </c>
      <c r="G160" s="75" t="str">
        <f>IFERROR(VLOOKUP(B160,Fontes!$A$9:$AC$6124,3,FALSE),0)</f>
        <v>m</v>
      </c>
      <c r="H160" s="75">
        <v>1</v>
      </c>
      <c r="I160" s="77">
        <v>42.177</v>
      </c>
      <c r="J160" s="264">
        <v>45</v>
      </c>
      <c r="K160" s="77">
        <v>90.274500000000018</v>
      </c>
      <c r="L160" s="264">
        <v>91.180656656837428</v>
      </c>
      <c r="M160" s="77"/>
      <c r="N160" s="264"/>
      <c r="O160" s="78">
        <f t="shared" si="10"/>
        <v>42.177</v>
      </c>
      <c r="P160" s="78">
        <f t="shared" si="11"/>
        <v>45</v>
      </c>
      <c r="S160" s="18"/>
      <c r="T160" s="18"/>
      <c r="W160" s="53"/>
      <c r="X160" s="53"/>
    </row>
    <row r="161" spans="2:24" ht="30" customHeight="1" x14ac:dyDescent="0.2">
      <c r="B161" s="83" t="s">
        <v>1584</v>
      </c>
      <c r="C161" s="74">
        <v>21</v>
      </c>
      <c r="D161" s="506" t="str">
        <f>IFERROR(VLOOKUP(B161,Fontes!$A$9:$AC$6124,2,FALSE),0)</f>
        <v>Eletroduto em aço galvanizado eletrolítico  Ø 3", inclusive conexões</v>
      </c>
      <c r="E161" s="507">
        <f>IFERROR(VLOOKUP(D161,Planilha!$B$10:$AC$943,4,FALSE),0)</f>
        <v>0</v>
      </c>
      <c r="F161" s="508">
        <f>IFERROR(VLOOKUP(E161,Planilha!$B$10:$AC$943,4,FALSE),0)</f>
        <v>0</v>
      </c>
      <c r="G161" s="75" t="str">
        <f>IFERROR(VLOOKUP(B161,Fontes!$A$9:$AC$6124,3,FALSE),0)</f>
        <v>m</v>
      </c>
      <c r="H161" s="75">
        <v>1</v>
      </c>
      <c r="I161" s="77">
        <v>108.88499999999999</v>
      </c>
      <c r="J161" s="264">
        <v>45</v>
      </c>
      <c r="K161" s="77">
        <v>186.24600000000001</v>
      </c>
      <c r="L161" s="264">
        <v>188.11549861488396</v>
      </c>
      <c r="M161" s="77"/>
      <c r="N161" s="264"/>
      <c r="O161" s="78">
        <f t="shared" si="10"/>
        <v>108.88499999999999</v>
      </c>
      <c r="P161" s="78">
        <f t="shared" si="11"/>
        <v>45</v>
      </c>
      <c r="S161" s="18"/>
      <c r="T161" s="18"/>
      <c r="W161" s="53"/>
      <c r="X161" s="53"/>
    </row>
    <row r="162" spans="2:24" ht="30" customHeight="1" x14ac:dyDescent="0.2">
      <c r="B162" s="83" t="s">
        <v>1585</v>
      </c>
      <c r="C162" s="74">
        <v>22</v>
      </c>
      <c r="D162" s="506" t="str">
        <f>IFERROR(VLOOKUP(B162,Fontes!$A$9:$AC$6124,2,FALSE),0)</f>
        <v>Eletroduto rígido roscável em PVC Ø 3/4", inclusive conexões</v>
      </c>
      <c r="E162" s="507">
        <f>IFERROR(VLOOKUP(D162,Planilha!$B$10:$AC$943,4,FALSE),0)</f>
        <v>0</v>
      </c>
      <c r="F162" s="508">
        <f>IFERROR(VLOOKUP(E162,Planilha!$B$10:$AC$943,4,FALSE),0)</f>
        <v>0</v>
      </c>
      <c r="G162" s="75" t="str">
        <f>IFERROR(VLOOKUP(B162,Fontes!$A$9:$AC$6124,3,FALSE),0)</f>
        <v>m</v>
      </c>
      <c r="H162" s="75">
        <v>1</v>
      </c>
      <c r="I162" s="77">
        <v>7.1456666666666662</v>
      </c>
      <c r="J162" s="264">
        <v>45</v>
      </c>
      <c r="K162" s="77">
        <v>21.060000000000002</v>
      </c>
      <c r="L162" s="264">
        <v>21.271395900204336</v>
      </c>
      <c r="M162" s="77"/>
      <c r="N162" s="264"/>
      <c r="O162" s="78">
        <f t="shared" si="10"/>
        <v>7.1456666666666662</v>
      </c>
      <c r="P162" s="78">
        <f t="shared" si="11"/>
        <v>21.271395900204336</v>
      </c>
      <c r="S162" s="18"/>
      <c r="T162" s="18"/>
      <c r="W162" s="53"/>
      <c r="X162" s="53"/>
    </row>
    <row r="163" spans="2:24" ht="30" customHeight="1" x14ac:dyDescent="0.2">
      <c r="B163" s="83" t="s">
        <v>1586</v>
      </c>
      <c r="C163" s="74">
        <v>23</v>
      </c>
      <c r="D163" s="506" t="str">
        <f>IFERROR(VLOOKUP(B163,Fontes!$A$9:$AC$6124,2,FALSE),0)</f>
        <v>Eletroduto rígido roscável em PVC Ø1", inclusive conexões</v>
      </c>
      <c r="E163" s="507">
        <f>IFERROR(VLOOKUP(D163,Planilha!$B$10:$AC$943,4,FALSE),0)</f>
        <v>0</v>
      </c>
      <c r="F163" s="508">
        <f>IFERROR(VLOOKUP(E163,Planilha!$B$10:$AC$943,4,FALSE),0)</f>
        <v>0</v>
      </c>
      <c r="G163" s="75" t="str">
        <f>IFERROR(VLOOKUP(B163,Fontes!$A$9:$AC$6124,3,FALSE),0)</f>
        <v>m</v>
      </c>
      <c r="H163" s="75">
        <v>1</v>
      </c>
      <c r="I163" s="77">
        <v>10.891333333333332</v>
      </c>
      <c r="J163" s="264">
        <v>45</v>
      </c>
      <c r="K163" s="77">
        <v>26.230500000000003</v>
      </c>
      <c r="L163" s="264">
        <v>26.493796303908344</v>
      </c>
      <c r="M163" s="77"/>
      <c r="N163" s="264"/>
      <c r="O163" s="78">
        <f t="shared" si="10"/>
        <v>10.891333333333332</v>
      </c>
      <c r="P163" s="78">
        <f t="shared" si="11"/>
        <v>26.493796303908344</v>
      </c>
      <c r="S163" s="18"/>
      <c r="T163" s="18"/>
      <c r="W163" s="53"/>
      <c r="X163" s="53"/>
    </row>
    <row r="164" spans="2:24" ht="30" customHeight="1" x14ac:dyDescent="0.2">
      <c r="B164" s="83" t="s">
        <v>1587</v>
      </c>
      <c r="C164" s="74">
        <v>24</v>
      </c>
      <c r="D164" s="506" t="str">
        <f>IFERROR(VLOOKUP(B164,Fontes!$A$9:$AC$6124,2,FALSE),0)</f>
        <v>Eletroduto rígido roscável em PVC Ø2", inclusive conexões</v>
      </c>
      <c r="E164" s="507">
        <f>IFERROR(VLOOKUP(D164,Planilha!$B$10:$AC$943,4,FALSE),0)</f>
        <v>0</v>
      </c>
      <c r="F164" s="508">
        <f>IFERROR(VLOOKUP(E164,Planilha!$B$10:$AC$943,4,FALSE),0)</f>
        <v>0</v>
      </c>
      <c r="G164" s="75" t="str">
        <f>IFERROR(VLOOKUP(B164,Fontes!$A$9:$AC$6124,3,FALSE),0)</f>
        <v>m</v>
      </c>
      <c r="H164" s="75">
        <v>1</v>
      </c>
      <c r="I164" s="77">
        <v>25.760666666666669</v>
      </c>
      <c r="J164" s="264">
        <v>45</v>
      </c>
      <c r="K164" s="77">
        <v>64.665000000000006</v>
      </c>
      <c r="L164" s="264">
        <v>65.314093821781256</v>
      </c>
      <c r="M164" s="77"/>
      <c r="N164" s="264"/>
      <c r="O164" s="78">
        <f t="shared" si="10"/>
        <v>25.760666666666669</v>
      </c>
      <c r="P164" s="78">
        <f t="shared" si="11"/>
        <v>45</v>
      </c>
      <c r="S164" s="18"/>
      <c r="T164" s="18"/>
      <c r="W164" s="53"/>
      <c r="X164" s="53"/>
    </row>
    <row r="165" spans="2:24" ht="30" customHeight="1" x14ac:dyDescent="0.2">
      <c r="B165" s="83" t="s">
        <v>1588</v>
      </c>
      <c r="C165" s="74">
        <v>25</v>
      </c>
      <c r="D165" s="506" t="str">
        <f>IFERROR(VLOOKUP(B165,Fontes!$A$9:$AC$6124,2,FALSE),0)</f>
        <v>Eletroduto de polietieno de alta densidade (PEAD) em forma espiral corrugada, com envelopamento em concreto Ø 2"</v>
      </c>
      <c r="E165" s="507">
        <f>IFERROR(VLOOKUP(D165,Planilha!$B$10:$AC$943,4,FALSE),0)</f>
        <v>0</v>
      </c>
      <c r="F165" s="508">
        <f>IFERROR(VLOOKUP(E165,Planilha!$B$10:$AC$943,4,FALSE),0)</f>
        <v>0</v>
      </c>
      <c r="G165" s="75" t="str">
        <f>IFERROR(VLOOKUP(B165,Fontes!$A$9:$AC$6124,3,FALSE),0)</f>
        <v>m</v>
      </c>
      <c r="H165" s="75">
        <v>1</v>
      </c>
      <c r="I165" s="77">
        <v>11.645</v>
      </c>
      <c r="J165" s="264">
        <v>45</v>
      </c>
      <c r="K165" s="77">
        <v>8.7750000000000004</v>
      </c>
      <c r="L165" s="264">
        <v>8.8630816250851367</v>
      </c>
      <c r="M165" s="77"/>
      <c r="N165" s="264"/>
      <c r="O165" s="78">
        <f t="shared" si="10"/>
        <v>8.7750000000000004</v>
      </c>
      <c r="P165" s="78">
        <f t="shared" si="11"/>
        <v>8.8630816250851367</v>
      </c>
      <c r="S165" s="18"/>
      <c r="T165" s="18"/>
      <c r="W165" s="53"/>
      <c r="X165" s="53"/>
    </row>
    <row r="166" spans="2:24" ht="30" customHeight="1" x14ac:dyDescent="0.2">
      <c r="B166" s="83" t="s">
        <v>1589</v>
      </c>
      <c r="C166" s="74">
        <v>26</v>
      </c>
      <c r="D166" s="506" t="str">
        <f>IFERROR(VLOOKUP(B166,Fontes!$A$9:$AC$6124,2,FALSE),0)</f>
        <v>Caixa de ligação em PVC rígido para eletroduto roscável, 4"x 2", de embutir na parede</v>
      </c>
      <c r="E166" s="507">
        <f>IFERROR(VLOOKUP(D166,Planilha!$B$10:$AC$943,4,FALSE),0)</f>
        <v>0</v>
      </c>
      <c r="F166" s="508">
        <f>IFERROR(VLOOKUP(E166,Planilha!$B$10:$AC$943,4,FALSE),0)</f>
        <v>0</v>
      </c>
      <c r="G166" s="75" t="str">
        <f>IFERROR(VLOOKUP(B166,Fontes!$A$9:$AC$6124,3,FALSE),0)</f>
        <v>un</v>
      </c>
      <c r="H166" s="75">
        <v>1</v>
      </c>
      <c r="I166" s="77">
        <v>2.754</v>
      </c>
      <c r="J166" s="264">
        <v>75</v>
      </c>
      <c r="K166" s="77">
        <v>3.375</v>
      </c>
      <c r="L166" s="264">
        <v>3.4088775481096683</v>
      </c>
      <c r="M166" s="77"/>
      <c r="N166" s="264"/>
      <c r="O166" s="78">
        <f t="shared" si="10"/>
        <v>2.754</v>
      </c>
      <c r="P166" s="78">
        <f t="shared" si="11"/>
        <v>3.4088775481096683</v>
      </c>
      <c r="S166" s="18"/>
      <c r="T166" s="18"/>
      <c r="W166" s="53"/>
      <c r="X166" s="53"/>
    </row>
    <row r="167" spans="2:24" ht="30" customHeight="1" x14ac:dyDescent="0.2">
      <c r="B167" s="83" t="s">
        <v>1590</v>
      </c>
      <c r="C167" s="74">
        <v>27</v>
      </c>
      <c r="D167" s="506" t="str">
        <f>IFERROR(VLOOKUP(B167,Fontes!$A$9:$AC$6124,2,FALSE),0)</f>
        <v>Caixa de ligação em PVC rígido para eletroduto roscável, 4"x 4", de embutir na parede</v>
      </c>
      <c r="E167" s="507">
        <f>IFERROR(VLOOKUP(D167,Planilha!$B$10:$AC$943,4,FALSE),0)</f>
        <v>0</v>
      </c>
      <c r="F167" s="508">
        <f>IFERROR(VLOOKUP(E167,Planilha!$B$10:$AC$943,4,FALSE),0)</f>
        <v>0</v>
      </c>
      <c r="G167" s="75" t="str">
        <f>IFERROR(VLOOKUP(B167,Fontes!$A$9:$AC$6124,3,FALSE),0)</f>
        <v>un</v>
      </c>
      <c r="H167" s="75">
        <v>1</v>
      </c>
      <c r="I167" s="77">
        <v>5.1339999999999995</v>
      </c>
      <c r="J167" s="264">
        <v>75</v>
      </c>
      <c r="K167" s="77">
        <v>4.7250000000000005</v>
      </c>
      <c r="L167" s="264">
        <v>4.7724285673535363</v>
      </c>
      <c r="M167" s="77"/>
      <c r="N167" s="264"/>
      <c r="O167" s="78">
        <f t="shared" si="10"/>
        <v>4.7250000000000005</v>
      </c>
      <c r="P167" s="78">
        <f t="shared" si="11"/>
        <v>4.7724285673535363</v>
      </c>
      <c r="S167" s="18"/>
      <c r="T167" s="18"/>
      <c r="W167" s="53"/>
      <c r="X167" s="53"/>
    </row>
    <row r="168" spans="2:24" ht="30" customHeight="1" x14ac:dyDescent="0.2">
      <c r="B168" s="83" t="s">
        <v>1591</v>
      </c>
      <c r="C168" s="74">
        <v>28</v>
      </c>
      <c r="D168" s="506" t="str">
        <f>IFERROR(VLOOKUP(B168,Fontes!$A$9:$AC$6124,2,FALSE),0)</f>
        <v>Caixa de passagem em chapa de aço/alumínio com tampa aparafusada - dimensões 10x10x8cm</v>
      </c>
      <c r="E168" s="507">
        <f>IFERROR(VLOOKUP(D168,Planilha!$B$10:$AC$943,4,FALSE),0)</f>
        <v>0</v>
      </c>
      <c r="F168" s="508">
        <f>IFERROR(VLOOKUP(E168,Planilha!$B$10:$AC$943,4,FALSE),0)</f>
        <v>0</v>
      </c>
      <c r="G168" s="75" t="str">
        <f>IFERROR(VLOOKUP(B168,Fontes!$A$9:$AC$6124,3,FALSE),0)</f>
        <v>un</v>
      </c>
      <c r="H168" s="75">
        <v>1</v>
      </c>
      <c r="I168" s="77">
        <v>24.99</v>
      </c>
      <c r="J168" s="264">
        <v>75</v>
      </c>
      <c r="K168" s="77">
        <v>46.399499999999996</v>
      </c>
      <c r="L168" s="264">
        <v>46.865248531411716</v>
      </c>
      <c r="M168" s="77"/>
      <c r="N168" s="264"/>
      <c r="O168" s="78">
        <f t="shared" si="10"/>
        <v>24.99</v>
      </c>
      <c r="P168" s="78">
        <f t="shared" si="11"/>
        <v>46.865248531411716</v>
      </c>
      <c r="S168" s="18"/>
      <c r="T168" s="18"/>
      <c r="W168" s="53"/>
      <c r="X168" s="53"/>
    </row>
    <row r="169" spans="2:24" ht="30" customHeight="1" x14ac:dyDescent="0.2">
      <c r="B169" s="83" t="s">
        <v>1592</v>
      </c>
      <c r="C169" s="74">
        <v>29</v>
      </c>
      <c r="D169" s="506" t="str">
        <f>IFERROR(VLOOKUP(B169,Fontes!$A$9:$AC$6124,2,FALSE),0)</f>
        <v>Caixa de passagem em chapa de aço/alumínio com tampa aparafusada - dimensões 15x15x10cm</v>
      </c>
      <c r="E169" s="507">
        <f>IFERROR(VLOOKUP(D169,Planilha!$B$10:$AC$943,4,FALSE),0)</f>
        <v>0</v>
      </c>
      <c r="F169" s="508">
        <f>IFERROR(VLOOKUP(E169,Planilha!$B$10:$AC$943,4,FALSE),0)</f>
        <v>0</v>
      </c>
      <c r="G169" s="75" t="str">
        <f>IFERROR(VLOOKUP(B169,Fontes!$A$9:$AC$6124,3,FALSE),0)</f>
        <v>un</v>
      </c>
      <c r="H169" s="75">
        <v>1</v>
      </c>
      <c r="I169" s="77">
        <v>34.985999999999997</v>
      </c>
      <c r="J169" s="264">
        <v>75</v>
      </c>
      <c r="K169" s="77">
        <v>70.240500000000011</v>
      </c>
      <c r="L169" s="264">
        <v>70.945559531258425</v>
      </c>
      <c r="M169" s="77"/>
      <c r="N169" s="264"/>
      <c r="O169" s="78">
        <f t="shared" si="10"/>
        <v>34.985999999999997</v>
      </c>
      <c r="P169" s="78">
        <f t="shared" si="11"/>
        <v>70.945559531258425</v>
      </c>
      <c r="S169" s="18"/>
      <c r="T169" s="18"/>
      <c r="W169" s="53"/>
      <c r="X169" s="53"/>
    </row>
    <row r="170" spans="2:24" ht="30" customHeight="1" x14ac:dyDescent="0.2">
      <c r="B170" s="83" t="s">
        <v>1593</v>
      </c>
      <c r="C170" s="74">
        <v>30</v>
      </c>
      <c r="D170" s="506" t="str">
        <f>IFERROR(VLOOKUP(B170,Fontes!$A$9:$AC$6124,2,FALSE),0)</f>
        <v>Caixa  passagem em alvenaria, com tampa de concreto e tampão de ferro e tela adicional para distribuição de rede de baixa tensão na dimensão de 80x80x80cm</v>
      </c>
      <c r="E170" s="507">
        <f>IFERROR(VLOOKUP(D170,Planilha!$B$10:$AC$943,4,FALSE),0)</f>
        <v>0</v>
      </c>
      <c r="F170" s="508">
        <f>IFERROR(VLOOKUP(E170,Planilha!$B$10:$AC$943,4,FALSE),0)</f>
        <v>0</v>
      </c>
      <c r="G170" s="75" t="str">
        <f>IFERROR(VLOOKUP(B170,Fontes!$A$9:$AC$6124,3,FALSE),0)</f>
        <v>cj</v>
      </c>
      <c r="H170" s="75">
        <v>1</v>
      </c>
      <c r="I170" s="77">
        <v>1360</v>
      </c>
      <c r="J170" s="264">
        <v>3000</v>
      </c>
      <c r="K170" s="77" t="s">
        <v>2228</v>
      </c>
      <c r="L170" s="264" t="s">
        <v>2228</v>
      </c>
      <c r="M170" s="77"/>
      <c r="N170" s="264"/>
      <c r="O170" s="78">
        <f t="shared" si="10"/>
        <v>1360</v>
      </c>
      <c r="P170" s="78">
        <f t="shared" si="11"/>
        <v>3000</v>
      </c>
      <c r="S170" s="18"/>
      <c r="T170" s="18"/>
      <c r="W170" s="53"/>
      <c r="X170" s="53"/>
    </row>
    <row r="171" spans="2:24" ht="30" customHeight="1" x14ac:dyDescent="0.2">
      <c r="B171" s="83" t="s">
        <v>1594</v>
      </c>
      <c r="C171" s="74">
        <v>31</v>
      </c>
      <c r="D171" s="506" t="str">
        <f>IFERROR(VLOOKUP(B171,Fontes!$A$9:$AC$6124,2,FALSE),0)</f>
        <v>Caixa  passagem em alvenaria, com tampa de concreto e tampão de ferro e tela adicional para distribuição de rede de baixa tensão na dimensão de 40x40x40cm</v>
      </c>
      <c r="E171" s="507">
        <f>IFERROR(VLOOKUP(D171,Planilha!$B$10:$AC$943,4,FALSE),0)</f>
        <v>0</v>
      </c>
      <c r="F171" s="508">
        <f>IFERROR(VLOOKUP(E171,Planilha!$B$10:$AC$943,4,FALSE),0)</f>
        <v>0</v>
      </c>
      <c r="G171" s="75" t="str">
        <f>IFERROR(VLOOKUP(B171,Fontes!$A$9:$AC$6124,3,FALSE),0)</f>
        <v>cj</v>
      </c>
      <c r="H171" s="75">
        <v>1</v>
      </c>
      <c r="I171" s="77">
        <v>1020</v>
      </c>
      <c r="J171" s="264">
        <v>3000</v>
      </c>
      <c r="K171" s="77" t="s">
        <v>2228</v>
      </c>
      <c r="L171" s="264" t="s">
        <v>2228</v>
      </c>
      <c r="M171" s="77"/>
      <c r="N171" s="264"/>
      <c r="O171" s="78">
        <f t="shared" si="10"/>
        <v>1020</v>
      </c>
      <c r="P171" s="78">
        <f t="shared" si="11"/>
        <v>3000</v>
      </c>
      <c r="S171" s="18"/>
      <c r="T171" s="18"/>
      <c r="W171" s="53"/>
      <c r="X171" s="53"/>
    </row>
    <row r="172" spans="2:24" ht="30" customHeight="1" x14ac:dyDescent="0.2">
      <c r="B172" s="83" t="s">
        <v>1595</v>
      </c>
      <c r="C172" s="74">
        <v>32</v>
      </c>
      <c r="D172" s="506" t="str">
        <f>IFERROR(VLOOKUP(B172,Fontes!$A$9:$AC$6124,2,FALSE),0)</f>
        <v>Tomada novo padrão brasileiro, de embutir, (2 P + T), 20A/240V,pino cilindrico 4 mm</v>
      </c>
      <c r="E172" s="507">
        <f>IFERROR(VLOOKUP(D172,Planilha!$B$10:$AC$943,4,FALSE),0)</f>
        <v>0</v>
      </c>
      <c r="F172" s="508">
        <f>IFERROR(VLOOKUP(E172,Planilha!$B$10:$AC$943,4,FALSE),0)</f>
        <v>0</v>
      </c>
      <c r="G172" s="75" t="str">
        <f>IFERROR(VLOOKUP(B172,Fontes!$A$9:$AC$6124,3,FALSE),0)</f>
        <v>un</v>
      </c>
      <c r="H172" s="75">
        <v>1</v>
      </c>
      <c r="I172" s="77">
        <v>8.6870000000000012</v>
      </c>
      <c r="J172" s="264">
        <v>22.5</v>
      </c>
      <c r="K172" s="77">
        <v>38.6235</v>
      </c>
      <c r="L172" s="264">
        <v>39.01119466056705</v>
      </c>
      <c r="M172" s="77"/>
      <c r="N172" s="264"/>
      <c r="O172" s="78">
        <f t="shared" si="10"/>
        <v>8.6870000000000012</v>
      </c>
      <c r="P172" s="78">
        <f t="shared" si="11"/>
        <v>22.5</v>
      </c>
      <c r="S172" s="18"/>
      <c r="T172" s="18"/>
      <c r="W172" s="53"/>
      <c r="X172" s="53"/>
    </row>
    <row r="173" spans="2:24" ht="30" customHeight="1" x14ac:dyDescent="0.2">
      <c r="B173" s="83" t="s">
        <v>1596</v>
      </c>
      <c r="C173" s="74">
        <v>33</v>
      </c>
      <c r="D173" s="506" t="str">
        <f>IFERROR(VLOOKUP(B173,Fontes!$A$9:$AC$6124,2,FALSE),0)</f>
        <v>Tomada novo padrão brasileiro, de embutir, (2 P + T), 10A/240V,pino cilindrico 4 mm</v>
      </c>
      <c r="E173" s="507">
        <f>IFERROR(VLOOKUP(D173,Planilha!$B$10:$AC$943,4,FALSE),0)</f>
        <v>0</v>
      </c>
      <c r="F173" s="508">
        <f>IFERROR(VLOOKUP(E173,Planilha!$B$10:$AC$943,4,FALSE),0)</f>
        <v>0</v>
      </c>
      <c r="G173" s="75" t="str">
        <f>IFERROR(VLOOKUP(B173,Fontes!$A$9:$AC$6124,3,FALSE),0)</f>
        <v>un</v>
      </c>
      <c r="H173" s="75">
        <v>1</v>
      </c>
      <c r="I173" s="77">
        <v>10.148999999999999</v>
      </c>
      <c r="J173" s="264">
        <v>22.5</v>
      </c>
      <c r="K173" s="77">
        <v>35.005500000000005</v>
      </c>
      <c r="L173" s="264">
        <v>35.356877928993491</v>
      </c>
      <c r="M173" s="77"/>
      <c r="N173" s="264"/>
      <c r="O173" s="78">
        <f t="shared" si="10"/>
        <v>10.148999999999999</v>
      </c>
      <c r="P173" s="78">
        <f t="shared" si="11"/>
        <v>22.5</v>
      </c>
      <c r="S173" s="18"/>
      <c r="T173" s="18"/>
      <c r="W173" s="53"/>
      <c r="X173" s="53"/>
    </row>
    <row r="174" spans="2:24" ht="30" customHeight="1" x14ac:dyDescent="0.2">
      <c r="B174" s="83" t="s">
        <v>1597</v>
      </c>
      <c r="C174" s="74">
        <v>34</v>
      </c>
      <c r="D174" s="506" t="str">
        <f>IFERROR(VLOOKUP(B174,Fontes!$A$9:$AC$6124,2,FALSE),0)</f>
        <v>Tomada novo padrão brasileiro, de embutir, (2 P + T), 20A/240V,pino cilindrico 4 mm, cor vermelha para rede estabilizada</v>
      </c>
      <c r="E174" s="507">
        <f>IFERROR(VLOOKUP(D174,Planilha!$B$10:$AC$943,4,FALSE),0)</f>
        <v>0</v>
      </c>
      <c r="F174" s="508">
        <f>IFERROR(VLOOKUP(E174,Planilha!$B$10:$AC$943,4,FALSE),0)</f>
        <v>0</v>
      </c>
      <c r="G174" s="75" t="str">
        <f>IFERROR(VLOOKUP(B174,Fontes!$A$9:$AC$6124,3,FALSE),0)</f>
        <v>un</v>
      </c>
      <c r="H174" s="75">
        <v>1</v>
      </c>
      <c r="I174" s="77">
        <v>10.148999999999999</v>
      </c>
      <c r="J174" s="264">
        <v>22.5</v>
      </c>
      <c r="K174" s="77">
        <v>40.702500000000001</v>
      </c>
      <c r="L174" s="264">
        <v>41.111063230202596</v>
      </c>
      <c r="M174" s="77"/>
      <c r="N174" s="264"/>
      <c r="O174" s="78">
        <f t="shared" si="10"/>
        <v>10.148999999999999</v>
      </c>
      <c r="P174" s="78">
        <f t="shared" si="11"/>
        <v>22.5</v>
      </c>
      <c r="S174" s="18"/>
      <c r="T174" s="18"/>
      <c r="W174" s="53"/>
      <c r="X174" s="53"/>
    </row>
    <row r="175" spans="2:24" ht="30" customHeight="1" x14ac:dyDescent="0.2">
      <c r="B175" s="83" t="s">
        <v>1598</v>
      </c>
      <c r="C175" s="74">
        <v>35</v>
      </c>
      <c r="D175" s="506" t="str">
        <f>IFERROR(VLOOKUP(B175,Fontes!$A$9:$AC$6124,2,FALSE),0)</f>
        <v>Interruptor bipolar simples 10A/250V, 1 tecla</v>
      </c>
      <c r="E175" s="507">
        <f>IFERROR(VLOOKUP(D175,Planilha!$B$10:$AC$943,4,FALSE),0)</f>
        <v>0</v>
      </c>
      <c r="F175" s="508">
        <f>IFERROR(VLOOKUP(E175,Planilha!$B$10:$AC$943,4,FALSE),0)</f>
        <v>0</v>
      </c>
      <c r="G175" s="75" t="str">
        <f>IFERROR(VLOOKUP(B175,Fontes!$A$9:$AC$6124,3,FALSE),0)</f>
        <v>un</v>
      </c>
      <c r="H175" s="75">
        <v>1</v>
      </c>
      <c r="I175" s="77">
        <v>30.361999999999998</v>
      </c>
      <c r="J175" s="264">
        <v>22.5</v>
      </c>
      <c r="K175" s="77">
        <v>88.006500000000003</v>
      </c>
      <c r="L175" s="264">
        <v>88.889890944507712</v>
      </c>
      <c r="M175" s="77"/>
      <c r="N175" s="264"/>
      <c r="O175" s="78">
        <f t="shared" si="10"/>
        <v>30.361999999999998</v>
      </c>
      <c r="P175" s="78">
        <f t="shared" si="11"/>
        <v>22.5</v>
      </c>
      <c r="S175" s="18"/>
      <c r="T175" s="18"/>
      <c r="W175" s="53"/>
      <c r="X175" s="53"/>
    </row>
    <row r="176" spans="2:24" ht="30" customHeight="1" x14ac:dyDescent="0.2">
      <c r="B176" s="83" t="s">
        <v>1599</v>
      </c>
      <c r="C176" s="74">
        <v>36</v>
      </c>
      <c r="D176" s="506" t="str">
        <f>IFERROR(VLOOKUP(B176,Fontes!$A$9:$AC$6124,2,FALSE),0)</f>
        <v>Interruptor bipolar paralelo 10A/250V, 1 tecla</v>
      </c>
      <c r="E176" s="507">
        <f>IFERROR(VLOOKUP(D176,Planilha!$B$10:$AC$943,4,FALSE),0)</f>
        <v>0</v>
      </c>
      <c r="F176" s="508">
        <f>IFERROR(VLOOKUP(E176,Planilha!$B$10:$AC$943,4,FALSE),0)</f>
        <v>0</v>
      </c>
      <c r="G176" s="75" t="str">
        <f>IFERROR(VLOOKUP(B176,Fontes!$A$9:$AC$6124,3,FALSE),0)</f>
        <v>un</v>
      </c>
      <c r="H176" s="75">
        <v>1</v>
      </c>
      <c r="I176" s="77">
        <v>31.602999999999998</v>
      </c>
      <c r="J176" s="264">
        <v>22.5</v>
      </c>
      <c r="K176" s="77">
        <v>108.351</v>
      </c>
      <c r="L176" s="264">
        <v>109.43860480451279</v>
      </c>
      <c r="M176" s="77"/>
      <c r="N176" s="264"/>
      <c r="O176" s="78">
        <f t="shared" si="10"/>
        <v>31.602999999999998</v>
      </c>
      <c r="P176" s="78">
        <f t="shared" si="11"/>
        <v>22.5</v>
      </c>
      <c r="S176" s="18"/>
      <c r="T176" s="18"/>
      <c r="W176" s="53"/>
      <c r="X176" s="53"/>
    </row>
    <row r="177" spans="2:24" ht="30" customHeight="1" x14ac:dyDescent="0.2">
      <c r="B177" s="83" t="s">
        <v>1600</v>
      </c>
      <c r="C177" s="74">
        <v>37</v>
      </c>
      <c r="D177" s="506" t="str">
        <f>IFERROR(VLOOKUP(B177,Fontes!$A$9:$AC$6124,2,FALSE),0)</f>
        <v>Interruptor bipolar intermediário 10A/250V, 1 tecla</v>
      </c>
      <c r="E177" s="507">
        <f>IFERROR(VLOOKUP(D177,Planilha!$B$10:$AC$943,4,FALSE),0)</f>
        <v>0</v>
      </c>
      <c r="F177" s="508">
        <f>IFERROR(VLOOKUP(E177,Planilha!$B$10:$AC$943,4,FALSE),0)</f>
        <v>0</v>
      </c>
      <c r="G177" s="75" t="str">
        <f>IFERROR(VLOOKUP(B177,Fontes!$A$9:$AC$6124,3,FALSE),0)</f>
        <v>un</v>
      </c>
      <c r="H177" s="75">
        <v>1</v>
      </c>
      <c r="I177" s="77">
        <v>24.378</v>
      </c>
      <c r="J177" s="264">
        <v>22.5</v>
      </c>
      <c r="K177" s="77">
        <v>151.51050000000001</v>
      </c>
      <c r="L177" s="264">
        <v>153.03133088973922</v>
      </c>
      <c r="M177" s="77"/>
      <c r="N177" s="264"/>
      <c r="O177" s="78">
        <f t="shared" si="10"/>
        <v>24.378</v>
      </c>
      <c r="P177" s="78">
        <f t="shared" si="11"/>
        <v>22.5</v>
      </c>
      <c r="S177" s="18"/>
      <c r="T177" s="18"/>
      <c r="W177" s="53"/>
      <c r="X177" s="53"/>
    </row>
    <row r="178" spans="2:24" ht="30" customHeight="1" x14ac:dyDescent="0.2">
      <c r="B178" s="83" t="s">
        <v>1601</v>
      </c>
      <c r="C178" s="74">
        <v>38</v>
      </c>
      <c r="D178" s="506" t="str">
        <f>IFERROR(VLOOKUP(B178,Fontes!$A$9:$AC$6124,2,FALSE),0)</f>
        <v>Plugue macho e fêmea (2 P + T), 10A/250V</v>
      </c>
      <c r="E178" s="507">
        <f>IFERROR(VLOOKUP(D178,Planilha!$B$10:$AC$943,4,FALSE),0)</f>
        <v>0</v>
      </c>
      <c r="F178" s="508">
        <f>IFERROR(VLOOKUP(E178,Planilha!$B$10:$AC$943,4,FALSE),0)</f>
        <v>0</v>
      </c>
      <c r="G178" s="75" t="str">
        <f>IFERROR(VLOOKUP(B178,Fontes!$A$9:$AC$6124,3,FALSE),0)</f>
        <v>un</v>
      </c>
      <c r="H178" s="75">
        <v>1</v>
      </c>
      <c r="I178" s="77">
        <v>8.1940000000000008</v>
      </c>
      <c r="J178" s="264">
        <v>22.5</v>
      </c>
      <c r="K178" s="77">
        <v>16.713000000000001</v>
      </c>
      <c r="L178" s="264">
        <v>16.880761618239077</v>
      </c>
      <c r="M178" s="77"/>
      <c r="N178" s="264"/>
      <c r="O178" s="78">
        <f t="shared" si="10"/>
        <v>8.1940000000000008</v>
      </c>
      <c r="P178" s="78">
        <f t="shared" si="11"/>
        <v>16.880761618239077</v>
      </c>
      <c r="S178" s="18"/>
      <c r="T178" s="18"/>
      <c r="W178" s="53"/>
      <c r="X178" s="53"/>
    </row>
    <row r="179" spans="2:24" ht="30" customHeight="1" x14ac:dyDescent="0.2">
      <c r="B179" s="83" t="s">
        <v>1602</v>
      </c>
      <c r="C179" s="74">
        <v>39</v>
      </c>
      <c r="D179" s="506" t="str">
        <f>IFERROR(VLOOKUP(B179,Fontes!$A$9:$AC$6124,2,FALSE),0)</f>
        <v>Caixa perfilado aparafusada pré galvanizada com 1 tomada 2P+T padrão brasileiro</v>
      </c>
      <c r="E179" s="507">
        <f>IFERROR(VLOOKUP(D179,Planilha!$B$10:$AC$943,4,FALSE),0)</f>
        <v>0</v>
      </c>
      <c r="F179" s="508">
        <f>IFERROR(VLOOKUP(E179,Planilha!$B$10:$AC$943,4,FALSE),0)</f>
        <v>0</v>
      </c>
      <c r="G179" s="75" t="str">
        <f>IFERROR(VLOOKUP(B179,Fontes!$A$9:$AC$6124,3,FALSE),0)</f>
        <v>un</v>
      </c>
      <c r="H179" s="75">
        <v>1</v>
      </c>
      <c r="I179" s="77">
        <v>8.7889999999999997</v>
      </c>
      <c r="J179" s="264">
        <v>22.5</v>
      </c>
      <c r="K179" s="77">
        <v>16.740000000000002</v>
      </c>
      <c r="L179" s="264">
        <v>16.908032638623958</v>
      </c>
      <c r="M179" s="77"/>
      <c r="N179" s="264"/>
      <c r="O179" s="78">
        <f t="shared" si="10"/>
        <v>8.7889999999999997</v>
      </c>
      <c r="P179" s="78">
        <f t="shared" si="11"/>
        <v>16.908032638623958</v>
      </c>
      <c r="S179" s="18"/>
      <c r="T179" s="18"/>
      <c r="W179" s="53"/>
      <c r="X179" s="53"/>
    </row>
    <row r="180" spans="2:24" ht="45" customHeight="1" x14ac:dyDescent="0.2">
      <c r="B180" s="83" t="s">
        <v>1603</v>
      </c>
      <c r="C180" s="74">
        <v>40</v>
      </c>
      <c r="D180" s="506" t="str">
        <f>IFERROR(VLOOKUP(B180,Fontes!$A$9:$AC$6124,2,FALSE),0)</f>
        <v>Caixa para piso elevado com corpo em chapa de aço carbono bi-cromatizado, com caixilho e tampa basculante em alumínio fundido, dotada de supoetes para tomadas de energia e para voz e dados e furações para entrada de eletrodutos flexíveis</v>
      </c>
      <c r="E180" s="507">
        <f>IFERROR(VLOOKUP(D180,Planilha!$B$10:$AC$943,4,FALSE),0)</f>
        <v>0</v>
      </c>
      <c r="F180" s="508">
        <f>IFERROR(VLOOKUP(E180,Planilha!$B$10:$AC$943,4,FALSE),0)</f>
        <v>0</v>
      </c>
      <c r="G180" s="75" t="str">
        <f>IFERROR(VLOOKUP(B180,Fontes!$A$9:$AC$6124,3,FALSE),0)</f>
        <v>un</v>
      </c>
      <c r="H180" s="75">
        <v>1</v>
      </c>
      <c r="I180" s="77">
        <v>454.39300000000003</v>
      </c>
      <c r="J180" s="264">
        <v>225</v>
      </c>
      <c r="K180" s="77">
        <v>256.5</v>
      </c>
      <c r="L180" s="264">
        <v>259.07469365633483</v>
      </c>
      <c r="M180" s="77"/>
      <c r="N180" s="264"/>
      <c r="O180" s="78">
        <f t="shared" si="10"/>
        <v>256.5</v>
      </c>
      <c r="P180" s="78">
        <f t="shared" si="11"/>
        <v>225</v>
      </c>
      <c r="S180" s="18"/>
      <c r="T180" s="18"/>
      <c r="W180" s="53"/>
      <c r="X180" s="53"/>
    </row>
    <row r="181" spans="2:24" ht="30" customHeight="1" x14ac:dyDescent="0.2">
      <c r="B181" s="83" t="s">
        <v>1604</v>
      </c>
      <c r="C181" s="74">
        <v>41</v>
      </c>
      <c r="D181" s="506" t="str">
        <f>IFERROR(VLOOKUP(B181,Fontes!$A$9:$AC$6124,2,FALSE),0)</f>
        <v>Eletrocalha lisa com tampa, em aço galvanizado, dimensões 100x100mm, inclusive curvas e conexões</v>
      </c>
      <c r="E181" s="507">
        <f>IFERROR(VLOOKUP(D181,Planilha!$B$10:$AC$943,4,FALSE),0)</f>
        <v>0</v>
      </c>
      <c r="F181" s="508">
        <f>IFERROR(VLOOKUP(E181,Planilha!$B$10:$AC$943,4,FALSE),0)</f>
        <v>0</v>
      </c>
      <c r="G181" s="75" t="str">
        <f>IFERROR(VLOOKUP(B181,Fontes!$A$9:$AC$6124,3,FALSE),0)</f>
        <v>m</v>
      </c>
      <c r="H181" s="75">
        <v>1</v>
      </c>
      <c r="I181" s="77">
        <v>425</v>
      </c>
      <c r="J181" s="264">
        <v>75</v>
      </c>
      <c r="K181" s="77">
        <v>419.85</v>
      </c>
      <c r="L181" s="264">
        <v>424.06436698484276</v>
      </c>
      <c r="M181" s="77"/>
      <c r="N181" s="264"/>
      <c r="O181" s="78">
        <f t="shared" si="10"/>
        <v>419.85</v>
      </c>
      <c r="P181" s="78">
        <f t="shared" si="11"/>
        <v>75</v>
      </c>
      <c r="S181" s="18"/>
      <c r="T181" s="18"/>
      <c r="W181" s="53"/>
      <c r="X181" s="53"/>
    </row>
    <row r="182" spans="2:24" ht="30" customHeight="1" x14ac:dyDescent="0.2">
      <c r="B182" s="83" t="s">
        <v>1605</v>
      </c>
      <c r="C182" s="74">
        <v>42</v>
      </c>
      <c r="D182" s="506" t="str">
        <f>IFERROR(VLOOKUP(B182,Fontes!$A$9:$AC$6124,2,FALSE),0)</f>
        <v>Eletrocalha lisa com tampa e septo, em aço galvanizado, dimensões 200x100mm, inclusive curvas e conexões</v>
      </c>
      <c r="E182" s="507">
        <f>IFERROR(VLOOKUP(D182,Planilha!$B$10:$AC$943,4,FALSE),0)</f>
        <v>0</v>
      </c>
      <c r="F182" s="508">
        <f>IFERROR(VLOOKUP(E182,Planilha!$B$10:$AC$943,4,FALSE),0)</f>
        <v>0</v>
      </c>
      <c r="G182" s="75" t="str">
        <f>IFERROR(VLOOKUP(B182,Fontes!$A$9:$AC$6124,3,FALSE),0)</f>
        <v>m</v>
      </c>
      <c r="H182" s="75">
        <v>1</v>
      </c>
      <c r="I182" s="77">
        <v>493</v>
      </c>
      <c r="J182" s="264">
        <v>75</v>
      </c>
      <c r="K182" s="77">
        <v>560.25</v>
      </c>
      <c r="L182" s="264">
        <v>565.87367298620495</v>
      </c>
      <c r="M182" s="77"/>
      <c r="N182" s="264"/>
      <c r="O182" s="78">
        <f t="shared" si="10"/>
        <v>493</v>
      </c>
      <c r="P182" s="78">
        <f t="shared" si="11"/>
        <v>75</v>
      </c>
      <c r="S182" s="18"/>
      <c r="T182" s="18"/>
      <c r="W182" s="53"/>
      <c r="X182" s="53"/>
    </row>
    <row r="183" spans="2:24" ht="30" customHeight="1" x14ac:dyDescent="0.2">
      <c r="B183" s="83" t="s">
        <v>1606</v>
      </c>
      <c r="C183" s="74">
        <v>43</v>
      </c>
      <c r="D183" s="506" t="str">
        <f>IFERROR(VLOOKUP(B183,Fontes!$A$9:$AC$6124,2,FALSE),0)</f>
        <v>Eletrocalha lisa com tampa e septo, em aço galvanizado, dimensões 300x100mm, inclusive curvas e conexões</v>
      </c>
      <c r="E183" s="507">
        <f>IFERROR(VLOOKUP(D183,Planilha!$B$10:$AC$943,4,FALSE),0)</f>
        <v>0</v>
      </c>
      <c r="F183" s="508">
        <f>IFERROR(VLOOKUP(E183,Planilha!$B$10:$AC$943,4,FALSE),0)</f>
        <v>0</v>
      </c>
      <c r="G183" s="75" t="str">
        <f>IFERROR(VLOOKUP(B183,Fontes!$A$9:$AC$6124,3,FALSE),0)</f>
        <v>m</v>
      </c>
      <c r="H183" s="75">
        <v>1</v>
      </c>
      <c r="I183" s="77">
        <v>544</v>
      </c>
      <c r="J183" s="264">
        <v>75</v>
      </c>
      <c r="K183" s="77">
        <v>795.15000000000009</v>
      </c>
      <c r="L183" s="264">
        <v>803.13155033463795</v>
      </c>
      <c r="M183" s="77"/>
      <c r="N183" s="264"/>
      <c r="O183" s="78">
        <f t="shared" si="10"/>
        <v>544</v>
      </c>
      <c r="P183" s="78">
        <f t="shared" si="11"/>
        <v>75</v>
      </c>
      <c r="S183" s="18"/>
      <c r="T183" s="18"/>
      <c r="W183" s="53"/>
      <c r="X183" s="53"/>
    </row>
    <row r="184" spans="2:24" ht="30" customHeight="1" x14ac:dyDescent="0.2">
      <c r="B184" s="83" t="s">
        <v>1607</v>
      </c>
      <c r="C184" s="74">
        <v>44</v>
      </c>
      <c r="D184" s="506" t="str">
        <f>IFERROR(VLOOKUP(B184,Fontes!$A$9:$AC$6124,2,FALSE),0)</f>
        <v>Perfilado liso em aço galvanizado eletrolítico, tipo reforçado, dimensões 38x38mm</v>
      </c>
      <c r="E184" s="507">
        <f>IFERROR(VLOOKUP(D184,Planilha!$B$10:$AC$943,4,FALSE),0)</f>
        <v>0</v>
      </c>
      <c r="F184" s="508">
        <f>IFERROR(VLOOKUP(E184,Planilha!$B$10:$AC$943,4,FALSE),0)</f>
        <v>0</v>
      </c>
      <c r="G184" s="75" t="str">
        <f>IFERROR(VLOOKUP(B184,Fontes!$A$9:$AC$6124,3,FALSE),0)</f>
        <v>m</v>
      </c>
      <c r="H184" s="75">
        <v>1</v>
      </c>
      <c r="I184" s="77">
        <v>119</v>
      </c>
      <c r="J184" s="264">
        <v>75</v>
      </c>
      <c r="K184" s="77">
        <v>95.4</v>
      </c>
      <c r="L184" s="264">
        <v>96.357605359899964</v>
      </c>
      <c r="M184" s="77"/>
      <c r="N184" s="264"/>
      <c r="O184" s="78">
        <f t="shared" si="10"/>
        <v>95.4</v>
      </c>
      <c r="P184" s="78">
        <f t="shared" si="11"/>
        <v>75</v>
      </c>
      <c r="S184" s="18"/>
      <c r="T184" s="18"/>
      <c r="W184" s="53"/>
      <c r="X184" s="53"/>
    </row>
    <row r="185" spans="2:24" ht="30" customHeight="1" x14ac:dyDescent="0.2">
      <c r="B185" s="83" t="s">
        <v>1608</v>
      </c>
      <c r="C185" s="74">
        <v>45</v>
      </c>
      <c r="D185" s="506" t="str">
        <f>IFERROR(VLOOKUP(B185,Fontes!$A$9:$AC$6124,2,FALSE),0)</f>
        <v>Luminaria embutir, tubo led, pot. 4x9w - 6500k, com aletas parabolicas, difusor translucido, refletor de aluminio anodizado, dim.: 618x618mm</v>
      </c>
      <c r="E185" s="507">
        <f>IFERROR(VLOOKUP(D185,Planilha!$B$10:$AC$943,4,FALSE),0)</f>
        <v>0</v>
      </c>
      <c r="F185" s="508">
        <f>IFERROR(VLOOKUP(E185,Planilha!$B$10:$AC$943,4,FALSE),0)</f>
        <v>0</v>
      </c>
      <c r="G185" s="75" t="str">
        <f>IFERROR(VLOOKUP(B185,Fontes!$A$9:$AC$6124,3,FALSE),0)</f>
        <v>un</v>
      </c>
      <c r="H185" s="75">
        <v>1</v>
      </c>
      <c r="I185" s="77">
        <v>380.8</v>
      </c>
      <c r="J185" s="264">
        <v>120</v>
      </c>
      <c r="K185" s="77" t="s">
        <v>2228</v>
      </c>
      <c r="L185" s="264">
        <v>53.380782918149464</v>
      </c>
      <c r="M185" s="77"/>
      <c r="N185" s="264"/>
      <c r="O185" s="78">
        <f t="shared" si="10"/>
        <v>380.8</v>
      </c>
      <c r="P185" s="78">
        <f t="shared" si="11"/>
        <v>53.380782918149464</v>
      </c>
      <c r="S185" s="18"/>
      <c r="T185" s="18"/>
      <c r="W185" s="53"/>
      <c r="X185" s="53"/>
    </row>
    <row r="186" spans="2:24" ht="30" customHeight="1" x14ac:dyDescent="0.2">
      <c r="B186" s="83" t="s">
        <v>1609</v>
      </c>
      <c r="C186" s="74">
        <v>46</v>
      </c>
      <c r="D186" s="506" t="str">
        <f>IFERROR(VLOOKUP(B186,Fontes!$A$9:$AC$6124,2,FALSE),0)</f>
        <v>Luminaria embutir, tubo led, pot. 4x9w - 6500k, sem aletas, difusor translucido, refletor de aluminio anodizado, dim.: 618x618mm</v>
      </c>
      <c r="E186" s="507">
        <f>IFERROR(VLOOKUP(D186,Planilha!$B$10:$AC$943,4,FALSE),0)</f>
        <v>0</v>
      </c>
      <c r="F186" s="508">
        <f>IFERROR(VLOOKUP(E186,Planilha!$B$10:$AC$943,4,FALSE),0)</f>
        <v>0</v>
      </c>
      <c r="G186" s="75" t="str">
        <f>IFERROR(VLOOKUP(B186,Fontes!$A$9:$AC$6124,3,FALSE),0)</f>
        <v>un</v>
      </c>
      <c r="H186" s="75">
        <v>1</v>
      </c>
      <c r="I186" s="77">
        <v>380.8</v>
      </c>
      <c r="J186" s="264">
        <v>120</v>
      </c>
      <c r="K186" s="77" t="s">
        <v>2228</v>
      </c>
      <c r="L186" s="264">
        <v>53.380782918149464</v>
      </c>
      <c r="M186" s="77"/>
      <c r="N186" s="264"/>
      <c r="O186" s="78">
        <f t="shared" si="10"/>
        <v>380.8</v>
      </c>
      <c r="P186" s="78">
        <f t="shared" si="11"/>
        <v>53.380782918149464</v>
      </c>
      <c r="S186" s="18"/>
      <c r="T186" s="18"/>
      <c r="W186" s="53"/>
      <c r="X186" s="53"/>
    </row>
    <row r="187" spans="2:24" ht="30" customHeight="1" x14ac:dyDescent="0.2">
      <c r="B187" s="83" t="s">
        <v>1610</v>
      </c>
      <c r="C187" s="74">
        <v>47</v>
      </c>
      <c r="D187" s="506" t="str">
        <f>IFERROR(VLOOKUP(B187,Fontes!$A$9:$AC$6124,2,FALSE),0)</f>
        <v>Luminaria de embutir redonda com lâmpada led, pot. 1x7w - 6500k  aro e aba de alumínio injetado com acabamento em pintura na cor branca</v>
      </c>
      <c r="E187" s="507">
        <f>IFERROR(VLOOKUP(D187,Planilha!$B$10:$AC$943,4,FALSE),0)</f>
        <v>0</v>
      </c>
      <c r="F187" s="508">
        <f>IFERROR(VLOOKUP(E187,Planilha!$B$10:$AC$943,4,FALSE),0)</f>
        <v>0</v>
      </c>
      <c r="G187" s="75" t="str">
        <f>IFERROR(VLOOKUP(B187,Fontes!$A$9:$AC$6124,3,FALSE),0)</f>
        <v>un</v>
      </c>
      <c r="H187" s="75">
        <v>1</v>
      </c>
      <c r="I187" s="77">
        <v>68</v>
      </c>
      <c r="J187" s="264">
        <v>120</v>
      </c>
      <c r="K187" s="77" t="s">
        <v>2228</v>
      </c>
      <c r="L187" s="264">
        <v>53.380782918149464</v>
      </c>
      <c r="M187" s="77"/>
      <c r="N187" s="264"/>
      <c r="O187" s="78">
        <f t="shared" si="10"/>
        <v>68</v>
      </c>
      <c r="P187" s="78">
        <f t="shared" si="11"/>
        <v>53.380782918149464</v>
      </c>
      <c r="S187" s="18"/>
      <c r="T187" s="18"/>
      <c r="W187" s="53"/>
      <c r="X187" s="53"/>
    </row>
    <row r="188" spans="2:24" ht="30" customHeight="1" x14ac:dyDescent="0.2">
      <c r="B188" s="83" t="s">
        <v>1689</v>
      </c>
      <c r="C188" s="74">
        <v>48</v>
      </c>
      <c r="D188" s="506" t="str">
        <f>IFERROR(VLOOKUP(B188,Fontes!$A$9:$AC$6124,2,FALSE),0)</f>
        <v>Luminaria embutir tubo led 2x19w 6500k aletas parabolicas difusor translucido e refletor de aluminio anodizado, dim.: 244x618mm</v>
      </c>
      <c r="E188" s="507">
        <f>IFERROR(VLOOKUP(D188,Planilha!$B$10:$AC$943,4,FALSE),0)</f>
        <v>0</v>
      </c>
      <c r="F188" s="508">
        <f>IFERROR(VLOOKUP(E188,Planilha!$B$10:$AC$943,4,FALSE),0)</f>
        <v>0</v>
      </c>
      <c r="G188" s="75" t="str">
        <f>IFERROR(VLOOKUP(B188,Fontes!$A$9:$AC$6124,3,FALSE),0)</f>
        <v>un</v>
      </c>
      <c r="H188" s="75">
        <v>1</v>
      </c>
      <c r="I188" s="77">
        <v>289</v>
      </c>
      <c r="J188" s="264">
        <v>120</v>
      </c>
      <c r="K188" s="77" t="s">
        <v>2228</v>
      </c>
      <c r="L188" s="264">
        <v>53.380782918149464</v>
      </c>
      <c r="M188" s="77"/>
      <c r="N188" s="264"/>
      <c r="O188" s="78">
        <f t="shared" si="10"/>
        <v>289</v>
      </c>
      <c r="P188" s="78">
        <f t="shared" si="11"/>
        <v>53.380782918149464</v>
      </c>
      <c r="S188" s="18"/>
      <c r="T188" s="18"/>
      <c r="W188" s="53"/>
      <c r="X188" s="53"/>
    </row>
    <row r="189" spans="2:24" ht="30" customHeight="1" x14ac:dyDescent="0.2">
      <c r="B189" s="83" t="s">
        <v>1690</v>
      </c>
      <c r="C189" s="74">
        <v>49</v>
      </c>
      <c r="D189" s="506" t="str">
        <f>IFERROR(VLOOKUP(B189,Fontes!$A$9:$AC$6124,2,FALSE),0)</f>
        <v>Luminária embutir, redonda, led 9w - 6500k, corpo de aluminio e difusor de policarbonato</v>
      </c>
      <c r="E189" s="507">
        <f>IFERROR(VLOOKUP(D189,Planilha!$B$10:$AC$943,4,FALSE),0)</f>
        <v>0</v>
      </c>
      <c r="F189" s="508">
        <f>IFERROR(VLOOKUP(E189,Planilha!$B$10:$AC$943,4,FALSE),0)</f>
        <v>0</v>
      </c>
      <c r="G189" s="75" t="str">
        <f>IFERROR(VLOOKUP(B189,Fontes!$A$9:$AC$6124,3,FALSE),0)</f>
        <v>un</v>
      </c>
      <c r="H189" s="75">
        <v>1</v>
      </c>
      <c r="I189" s="77">
        <v>85</v>
      </c>
      <c r="J189" s="264">
        <v>120</v>
      </c>
      <c r="K189" s="77" t="s">
        <v>2228</v>
      </c>
      <c r="L189" s="264">
        <v>53.380782918149464</v>
      </c>
      <c r="M189" s="77"/>
      <c r="N189" s="264"/>
      <c r="O189" s="78">
        <f t="shared" si="10"/>
        <v>85</v>
      </c>
      <c r="P189" s="78">
        <f t="shared" si="11"/>
        <v>53.380782918149464</v>
      </c>
      <c r="S189" s="18"/>
      <c r="T189" s="18"/>
      <c r="W189" s="53"/>
      <c r="X189" s="53"/>
    </row>
    <row r="190" spans="2:24" ht="30" customHeight="1" x14ac:dyDescent="0.2">
      <c r="B190" s="83" t="s">
        <v>1691</v>
      </c>
      <c r="C190" s="74">
        <v>50</v>
      </c>
      <c r="D190" s="506" t="str">
        <f>IFERROR(VLOOKUP(B190,Fontes!$A$9:$AC$6124,2,FALSE),0)</f>
        <v>Luminária de embutir, redonda, com led 18w - 6500k, corpo aluminio e difusor de policarbonato</v>
      </c>
      <c r="E190" s="507">
        <f>IFERROR(VLOOKUP(D190,Planilha!$B$10:$AC$943,4,FALSE),0)</f>
        <v>0</v>
      </c>
      <c r="F190" s="508">
        <f>IFERROR(VLOOKUP(E190,Planilha!$B$10:$AC$943,4,FALSE),0)</f>
        <v>0</v>
      </c>
      <c r="G190" s="75" t="str">
        <f>IFERROR(VLOOKUP(B190,Fontes!$A$9:$AC$6124,3,FALSE),0)</f>
        <v>un</v>
      </c>
      <c r="H190" s="75">
        <v>1</v>
      </c>
      <c r="I190" s="77">
        <v>110.5</v>
      </c>
      <c r="J190" s="264">
        <v>120</v>
      </c>
      <c r="K190" s="77" t="s">
        <v>2228</v>
      </c>
      <c r="L190" s="264">
        <v>53.380782918149464</v>
      </c>
      <c r="M190" s="77"/>
      <c r="N190" s="264"/>
      <c r="O190" s="78">
        <f t="shared" si="10"/>
        <v>110.5</v>
      </c>
      <c r="P190" s="78">
        <f t="shared" si="11"/>
        <v>53.380782918149464</v>
      </c>
      <c r="S190" s="18"/>
      <c r="T190" s="18"/>
      <c r="W190" s="53"/>
      <c r="X190" s="53"/>
    </row>
    <row r="191" spans="2:24" ht="30" customHeight="1" x14ac:dyDescent="0.2">
      <c r="B191" s="83" t="s">
        <v>1692</v>
      </c>
      <c r="C191" s="74">
        <v>51</v>
      </c>
      <c r="D191" s="506" t="str">
        <f>IFERROR(VLOOKUP(B191,Fontes!$A$9:$AC$6124,2,FALSE),0)</f>
        <v>Luminária de embutir, tipo linear com led pot. 35w,  6500k refletor em chapa de aço com pintura cor  branca e difusor acrílico leitoso extrundado, dim.  67x2237mm</v>
      </c>
      <c r="E191" s="507">
        <f>IFERROR(VLOOKUP(D191,Planilha!$B$10:$AC$943,4,FALSE),0)</f>
        <v>0</v>
      </c>
      <c r="F191" s="508">
        <f>IFERROR(VLOOKUP(E191,Planilha!$B$10:$AC$943,4,FALSE),0)</f>
        <v>0</v>
      </c>
      <c r="G191" s="75" t="str">
        <f>IFERROR(VLOOKUP(B191,Fontes!$A$9:$AC$6124,3,FALSE),0)</f>
        <v>un</v>
      </c>
      <c r="H191" s="75">
        <v>1</v>
      </c>
      <c r="I191" s="77">
        <v>578</v>
      </c>
      <c r="J191" s="264">
        <v>120</v>
      </c>
      <c r="K191" s="77" t="s">
        <v>2228</v>
      </c>
      <c r="L191" s="264">
        <v>53.380782918149464</v>
      </c>
      <c r="M191" s="77"/>
      <c r="N191" s="264"/>
      <c r="O191" s="78">
        <f t="shared" si="10"/>
        <v>578</v>
      </c>
      <c r="P191" s="78">
        <f t="shared" si="11"/>
        <v>53.380782918149464</v>
      </c>
      <c r="S191" s="18"/>
      <c r="T191" s="18"/>
      <c r="W191" s="53"/>
      <c r="X191" s="53"/>
    </row>
    <row r="192" spans="2:24" ht="30" customHeight="1" x14ac:dyDescent="0.2">
      <c r="B192" s="83" t="s">
        <v>1693</v>
      </c>
      <c r="C192" s="74">
        <v>52</v>
      </c>
      <c r="D192" s="506" t="str">
        <f>IFERROR(VLOOKUP(B192,Fontes!$A$9:$AC$6124,2,FALSE),0)</f>
        <v>Luminária de embutir, tipo linear com led pot. 70w,  6500k refletor em chapa de aço com pintura cor  branca e difusor acrílico leitoso extrundado, dim.  67x2237mm</v>
      </c>
      <c r="E192" s="507">
        <f>IFERROR(VLOOKUP(D192,Planilha!$B$10:$AC$943,4,FALSE),0)</f>
        <v>0</v>
      </c>
      <c r="F192" s="508">
        <f>IFERROR(VLOOKUP(E192,Planilha!$B$10:$AC$943,4,FALSE),0)</f>
        <v>0</v>
      </c>
      <c r="G192" s="75" t="str">
        <f>IFERROR(VLOOKUP(B192,Fontes!$A$9:$AC$6124,3,FALSE),0)</f>
        <v>un</v>
      </c>
      <c r="H192" s="75">
        <v>1</v>
      </c>
      <c r="I192" s="77">
        <v>680</v>
      </c>
      <c r="J192" s="264">
        <v>120</v>
      </c>
      <c r="K192" s="77" t="s">
        <v>2228</v>
      </c>
      <c r="L192" s="264">
        <v>53.380782918149464</v>
      </c>
      <c r="M192" s="77"/>
      <c r="N192" s="264"/>
      <c r="O192" s="78">
        <f t="shared" si="10"/>
        <v>680</v>
      </c>
      <c r="P192" s="78">
        <f t="shared" si="11"/>
        <v>53.380782918149464</v>
      </c>
      <c r="S192" s="18"/>
      <c r="T192" s="18"/>
      <c r="W192" s="53"/>
      <c r="X192" s="53"/>
    </row>
    <row r="193" spans="2:24" ht="30" customHeight="1" x14ac:dyDescent="0.2">
      <c r="B193" s="83" t="s">
        <v>1694</v>
      </c>
      <c r="C193" s="74">
        <v>53</v>
      </c>
      <c r="D193" s="506" t="str">
        <f>IFERROR(VLOOKUP(B193,Fontes!$A$9:$AC$6124,2,FALSE),0)</f>
        <v>Luminária embutir com leds tubulares, pot. 1x19w - 6500k  difusor translúcido e refletor de alumínio anodizado, dim. 174x1243mm</v>
      </c>
      <c r="E193" s="507">
        <f>IFERROR(VLOOKUP(D193,Planilha!$B$10:$AC$943,4,FALSE),0)</f>
        <v>0</v>
      </c>
      <c r="F193" s="508">
        <f>IFERROR(VLOOKUP(E193,Planilha!$B$10:$AC$943,4,FALSE),0)</f>
        <v>0</v>
      </c>
      <c r="G193" s="75" t="str">
        <f>IFERROR(VLOOKUP(B193,Fontes!$A$9:$AC$6124,3,FALSE),0)</f>
        <v>un</v>
      </c>
      <c r="H193" s="75">
        <v>1</v>
      </c>
      <c r="I193" s="77">
        <v>204</v>
      </c>
      <c r="J193" s="264">
        <v>120</v>
      </c>
      <c r="K193" s="77" t="s">
        <v>2228</v>
      </c>
      <c r="L193" s="264">
        <v>53.380782918149464</v>
      </c>
      <c r="M193" s="77"/>
      <c r="N193" s="264"/>
      <c r="O193" s="78">
        <f t="shared" si="10"/>
        <v>204</v>
      </c>
      <c r="P193" s="78">
        <f t="shared" si="11"/>
        <v>53.380782918149464</v>
      </c>
      <c r="S193" s="18"/>
      <c r="T193" s="18"/>
      <c r="W193" s="53"/>
      <c r="X193" s="53"/>
    </row>
    <row r="194" spans="2:24" ht="30" customHeight="1" x14ac:dyDescent="0.2">
      <c r="B194" s="83" t="s">
        <v>1695</v>
      </c>
      <c r="C194" s="74">
        <v>54</v>
      </c>
      <c r="D194" s="506" t="str">
        <f>IFERROR(VLOOKUP(B194,Fontes!$A$9:$AC$6124,2,FALSE),0)</f>
        <v>Luminária de sobrepor com leds tubulares, pot. 2x19w - 6500k  difusor translúcido, refletor de aluminio anodizado, dim.: 235x1243mm</v>
      </c>
      <c r="E194" s="507">
        <f>IFERROR(VLOOKUP(D194,Planilha!$B$10:$AC$943,4,FALSE),0)</f>
        <v>0</v>
      </c>
      <c r="F194" s="508">
        <f>IFERROR(VLOOKUP(E194,Planilha!$B$10:$AC$943,4,FALSE),0)</f>
        <v>0</v>
      </c>
      <c r="G194" s="75" t="str">
        <f>IFERROR(VLOOKUP(B194,Fontes!$A$9:$AC$6124,3,FALSE),0)</f>
        <v>un</v>
      </c>
      <c r="H194" s="75">
        <v>1</v>
      </c>
      <c r="I194" s="77">
        <v>255</v>
      </c>
      <c r="J194" s="264">
        <v>120</v>
      </c>
      <c r="K194" s="77" t="s">
        <v>2228</v>
      </c>
      <c r="L194" s="264">
        <v>53.380782918149464</v>
      </c>
      <c r="M194" s="77"/>
      <c r="N194" s="264"/>
      <c r="O194" s="78">
        <f t="shared" si="10"/>
        <v>255</v>
      </c>
      <c r="P194" s="78">
        <f t="shared" si="11"/>
        <v>53.380782918149464</v>
      </c>
      <c r="S194" s="18"/>
      <c r="T194" s="18"/>
      <c r="W194" s="53"/>
      <c r="X194" s="53"/>
    </row>
    <row r="195" spans="2:24" ht="30" customHeight="1" x14ac:dyDescent="0.2">
      <c r="B195" s="83" t="s">
        <v>1696</v>
      </c>
      <c r="C195" s="74">
        <v>55</v>
      </c>
      <c r="D195" s="506" t="str">
        <f>IFERROR(VLOOKUP(B195,Fontes!$A$9:$AC$6124,2,FALSE),0)</f>
        <v>Luminária de sobrepor com leds tubulares, pot. 2x19w - 6500k refletor de alumínio anodizado de alto brilho, dim.: 160x1235mm</v>
      </c>
      <c r="E195" s="507">
        <f>IFERROR(VLOOKUP(D195,Planilha!$B$10:$AC$943,4,FALSE),0)</f>
        <v>0</v>
      </c>
      <c r="F195" s="508">
        <f>IFERROR(VLOOKUP(E195,Planilha!$B$10:$AC$943,4,FALSE),0)</f>
        <v>0</v>
      </c>
      <c r="G195" s="75" t="str">
        <f>IFERROR(VLOOKUP(B195,Fontes!$A$9:$AC$6124,3,FALSE),0)</f>
        <v>un</v>
      </c>
      <c r="H195" s="75">
        <v>1</v>
      </c>
      <c r="I195" s="77">
        <v>323</v>
      </c>
      <c r="J195" s="264">
        <v>120</v>
      </c>
      <c r="K195" s="77" t="s">
        <v>2228</v>
      </c>
      <c r="L195" s="264">
        <v>53.380782918149464</v>
      </c>
      <c r="M195" s="77"/>
      <c r="N195" s="264"/>
      <c r="O195" s="78">
        <f t="shared" si="10"/>
        <v>323</v>
      </c>
      <c r="P195" s="78">
        <f t="shared" si="11"/>
        <v>53.380782918149464</v>
      </c>
      <c r="S195" s="18"/>
      <c r="T195" s="18"/>
      <c r="W195" s="53"/>
      <c r="X195" s="53"/>
    </row>
    <row r="196" spans="2:24" ht="30" customHeight="1" x14ac:dyDescent="0.2">
      <c r="B196" s="83" t="s">
        <v>1697</v>
      </c>
      <c r="C196" s="74">
        <v>56</v>
      </c>
      <c r="D196" s="506" t="str">
        <f>IFERROR(VLOOKUP(B196,Fontes!$A$9:$AC$6124,2,FALSE),0)</f>
        <v>Luminária arandela com led tubular, pot. 1x19w - 6500k  difusor translucido e refletor de alumínio anodizado, dim.: 244x618mm</v>
      </c>
      <c r="E196" s="507">
        <f>IFERROR(VLOOKUP(D196,Planilha!$B$10:$AC$943,4,FALSE),0)</f>
        <v>0</v>
      </c>
      <c r="F196" s="508">
        <f>IFERROR(VLOOKUP(E196,Planilha!$B$10:$AC$943,4,FALSE),0)</f>
        <v>0</v>
      </c>
      <c r="G196" s="75" t="str">
        <f>IFERROR(VLOOKUP(B196,Fontes!$A$9:$AC$6124,3,FALSE),0)</f>
        <v>un</v>
      </c>
      <c r="H196" s="75">
        <v>1</v>
      </c>
      <c r="I196" s="77">
        <v>595</v>
      </c>
      <c r="J196" s="264">
        <v>120</v>
      </c>
      <c r="K196" s="77" t="s">
        <v>2228</v>
      </c>
      <c r="L196" s="264">
        <v>53.380782918149464</v>
      </c>
      <c r="M196" s="77"/>
      <c r="N196" s="264"/>
      <c r="O196" s="78">
        <f t="shared" si="10"/>
        <v>595</v>
      </c>
      <c r="P196" s="78">
        <f t="shared" si="11"/>
        <v>53.380782918149464</v>
      </c>
      <c r="S196" s="18"/>
      <c r="T196" s="18"/>
      <c r="W196" s="53"/>
      <c r="X196" s="53"/>
    </row>
    <row r="197" spans="2:24" ht="30" customHeight="1" x14ac:dyDescent="0.2">
      <c r="B197" s="83" t="s">
        <v>1698</v>
      </c>
      <c r="C197" s="74">
        <v>57</v>
      </c>
      <c r="D197" s="506" t="str">
        <f>IFERROR(VLOOKUP(B197,Fontes!$A$9:$AC$6124,2,FALSE),0)</f>
        <v>Luminária de embutir balizador, led e27 1x4w - 6500k, difusor temperado jateado e corpo alúminio  injetado com pintura eletrostática branca, dim.: 105x233mm</v>
      </c>
      <c r="E197" s="507">
        <f>IFERROR(VLOOKUP(D197,Planilha!$B$10:$AC$943,4,FALSE),0)</f>
        <v>0</v>
      </c>
      <c r="F197" s="508">
        <f>IFERROR(VLOOKUP(E197,Planilha!$B$10:$AC$943,4,FALSE),0)</f>
        <v>0</v>
      </c>
      <c r="G197" s="75" t="str">
        <f>IFERROR(VLOOKUP(B197,Fontes!$A$9:$AC$6124,3,FALSE),0)</f>
        <v>un</v>
      </c>
      <c r="H197" s="75">
        <v>1</v>
      </c>
      <c r="I197" s="77">
        <v>170</v>
      </c>
      <c r="J197" s="264">
        <v>120</v>
      </c>
      <c r="K197" s="77" t="s">
        <v>2228</v>
      </c>
      <c r="L197" s="264">
        <v>53.380782918149464</v>
      </c>
      <c r="M197" s="77"/>
      <c r="N197" s="264"/>
      <c r="O197" s="78">
        <f t="shared" si="10"/>
        <v>170</v>
      </c>
      <c r="P197" s="78">
        <f t="shared" si="11"/>
        <v>53.380782918149464</v>
      </c>
      <c r="S197" s="18"/>
      <c r="T197" s="18"/>
      <c r="W197" s="53"/>
      <c r="X197" s="53"/>
    </row>
    <row r="198" spans="2:24" ht="34.5" customHeight="1" x14ac:dyDescent="0.2">
      <c r="B198" s="83" t="s">
        <v>1699</v>
      </c>
      <c r="C198" s="74">
        <v>58</v>
      </c>
      <c r="D198" s="506" t="str">
        <f>IFERROR(VLOOKUP(B198,Fontes!$A$9:$AC$6124,2,FALSE),0)</f>
        <v>Luminária embutir com leds tubulares, pot. 2x10w - 6500k  difusor translúcido e refletor alumínio anodizado, dim.: 175x618mm</v>
      </c>
      <c r="E198" s="507">
        <f>IFERROR(VLOOKUP(D198,Planilha!$B$10:$AC$943,4,FALSE),0)</f>
        <v>0</v>
      </c>
      <c r="F198" s="508">
        <f>IFERROR(VLOOKUP(E198,Planilha!$B$10:$AC$943,4,FALSE),0)</f>
        <v>0</v>
      </c>
      <c r="G198" s="75" t="str">
        <f>IFERROR(VLOOKUP(B198,Fontes!$A$9:$AC$6124,3,FALSE),0)</f>
        <v>un</v>
      </c>
      <c r="H198" s="75">
        <v>1</v>
      </c>
      <c r="I198" s="77">
        <v>510</v>
      </c>
      <c r="J198" s="264">
        <v>120</v>
      </c>
      <c r="K198" s="77" t="s">
        <v>2228</v>
      </c>
      <c r="L198" s="264">
        <v>53.380782918149464</v>
      </c>
      <c r="M198" s="77"/>
      <c r="N198" s="264"/>
      <c r="O198" s="78">
        <f t="shared" si="10"/>
        <v>510</v>
      </c>
      <c r="P198" s="78">
        <f t="shared" si="11"/>
        <v>53.380782918149464</v>
      </c>
      <c r="S198" s="18"/>
      <c r="T198" s="18"/>
      <c r="W198" s="53"/>
      <c r="X198" s="53"/>
    </row>
    <row r="199" spans="2:24" ht="97.5" customHeight="1" x14ac:dyDescent="0.2">
      <c r="B199" s="83" t="s">
        <v>1700</v>
      </c>
      <c r="C199" s="74">
        <v>59</v>
      </c>
      <c r="D199" s="506" t="str">
        <f>IFERROR(VLOOKUP(B199,Fontes!$A$9:$AC$6124,2,FALSE),0)</f>
        <v xml:space="preserve">Luminária led, 78w, decorativa para instalação em topo de poste reto com encaixe para postes de 60mm de diâmetro. equipada com módulo led e driver com índice de proteção ip67, corpo em perfil de alumínio extrudado e chapa de alumínio, acabamento em tinta pó poliéster de alta resistência na cor preto microtexturizado aplicado por processo eletrostático, garantindo camada mínima de 50µm. lente: em pmma injetado com elevado índice de transmissão luminosa, proporcionando controle preciso da luz vedação em silicone  equipada com 2 módulos. </v>
      </c>
      <c r="E199" s="507">
        <f>IFERROR(VLOOKUP(D199,Planilha!$B$10:$AC$943,4,FALSE),0)</f>
        <v>0</v>
      </c>
      <c r="F199" s="508">
        <f>IFERROR(VLOOKUP(E199,Planilha!$B$10:$AC$943,4,FALSE),0)</f>
        <v>0</v>
      </c>
      <c r="G199" s="75" t="str">
        <f>IFERROR(VLOOKUP(B199,Fontes!$A$9:$AC$6124,3,FALSE),0)</f>
        <v>un</v>
      </c>
      <c r="H199" s="75">
        <v>1</v>
      </c>
      <c r="I199" s="77">
        <v>816</v>
      </c>
      <c r="J199" s="264">
        <v>120</v>
      </c>
      <c r="K199" s="77" t="s">
        <v>2228</v>
      </c>
      <c r="L199" s="264">
        <v>53.380782918149464</v>
      </c>
      <c r="M199" s="77"/>
      <c r="N199" s="264"/>
      <c r="O199" s="78">
        <f t="shared" si="10"/>
        <v>816</v>
      </c>
      <c r="P199" s="78">
        <f t="shared" si="11"/>
        <v>53.380782918149464</v>
      </c>
      <c r="S199" s="18"/>
      <c r="T199" s="18"/>
      <c r="W199" s="53"/>
      <c r="X199" s="53"/>
    </row>
    <row r="200" spans="2:24" ht="96.75" customHeight="1" x14ac:dyDescent="0.2">
      <c r="B200" s="83" t="s">
        <v>1701</v>
      </c>
      <c r="C200" s="74">
        <v>60</v>
      </c>
      <c r="D200" s="506" t="str">
        <f>IFERROR(VLOOKUP(B200,Fontes!$A$9:$AC$6124,2,FALSE),0)</f>
        <v xml:space="preserve">Luminária led, 150w, decorativa para instalação em topo de poste reto com encaixe para postes de 60mm de diâmetro. equipada com módulo led e driver com índice de proteção ip67, corpo em perfil de alumínio extrudado e chapa de alumínio, acabamento em tinta pó poliéster de alta resistência na cor preto microtexturizado aplicado por processo eletrostático, garantindo camada mínima de 50µm lente em pmma injetado com elevado índice de transmissão luminosa, proporcionando controle preciso da luz vedação em silicone.  equipada com 3 módulos </v>
      </c>
      <c r="E200" s="507">
        <f>IFERROR(VLOOKUP(D200,Planilha!$B$10:$AC$943,4,FALSE),0)</f>
        <v>0</v>
      </c>
      <c r="F200" s="508">
        <f>IFERROR(VLOOKUP(E200,Planilha!$B$10:$AC$943,4,FALSE),0)</f>
        <v>0</v>
      </c>
      <c r="G200" s="75" t="str">
        <f>IFERROR(VLOOKUP(B200,Fontes!$A$9:$AC$6124,3,FALSE),0)</f>
        <v>un</v>
      </c>
      <c r="H200" s="75">
        <v>1</v>
      </c>
      <c r="I200" s="77">
        <v>850</v>
      </c>
      <c r="J200" s="264">
        <v>120</v>
      </c>
      <c r="K200" s="77" t="s">
        <v>2228</v>
      </c>
      <c r="L200" s="264">
        <v>53.380782918149464</v>
      </c>
      <c r="M200" s="77"/>
      <c r="N200" s="264"/>
      <c r="O200" s="78">
        <f t="shared" si="10"/>
        <v>850</v>
      </c>
      <c r="P200" s="78">
        <f t="shared" si="11"/>
        <v>53.380782918149464</v>
      </c>
      <c r="S200" s="18"/>
      <c r="T200" s="18"/>
      <c r="W200" s="53"/>
      <c r="X200" s="53"/>
    </row>
    <row r="201" spans="2:24" ht="30" customHeight="1" x14ac:dyDescent="0.2">
      <c r="B201" s="83" t="s">
        <v>1702</v>
      </c>
      <c r="C201" s="74">
        <v>61</v>
      </c>
      <c r="D201" s="506" t="str">
        <f>IFERROR(VLOOKUP(B201,Fontes!$A$9:$AC$6124,2,FALSE),0)</f>
        <v xml:space="preserve">Luminária tipo espeto, com lâmpada led 10w, 6500k, ip-65 e instalada no jardim </v>
      </c>
      <c r="E201" s="507">
        <f>IFERROR(VLOOKUP(D201,Planilha!$B$10:$AC$943,4,FALSE),0)</f>
        <v>0</v>
      </c>
      <c r="F201" s="508">
        <f>IFERROR(VLOOKUP(E201,Planilha!$B$10:$AC$943,4,FALSE),0)</f>
        <v>0</v>
      </c>
      <c r="G201" s="75" t="str">
        <f>IFERROR(VLOOKUP(B201,Fontes!$A$9:$AC$6124,3,FALSE),0)</f>
        <v>un</v>
      </c>
      <c r="H201" s="75">
        <v>1</v>
      </c>
      <c r="I201" s="77">
        <v>340</v>
      </c>
      <c r="J201" s="264">
        <v>120</v>
      </c>
      <c r="K201" s="77" t="s">
        <v>2228</v>
      </c>
      <c r="L201" s="264">
        <v>53.380782918149464</v>
      </c>
      <c r="M201" s="77"/>
      <c r="N201" s="264"/>
      <c r="O201" s="78">
        <f t="shared" si="10"/>
        <v>340</v>
      </c>
      <c r="P201" s="78">
        <f t="shared" si="11"/>
        <v>53.380782918149464</v>
      </c>
      <c r="S201" s="18"/>
      <c r="T201" s="18"/>
      <c r="W201" s="53"/>
      <c r="X201" s="53"/>
    </row>
    <row r="202" spans="2:24" ht="30" customHeight="1" x14ac:dyDescent="0.2">
      <c r="B202" s="83" t="s">
        <v>1703</v>
      </c>
      <c r="C202" s="74">
        <v>62</v>
      </c>
      <c r="D202" s="506" t="str">
        <f>IFERROR(VLOOKUP(B202,Fontes!$A$9:$AC$6124,2,FALSE),0)</f>
        <v>Luminária pendente de led e27, ip-65, com grade, visor em vidro anti-ofuscamento e corpo em alumínio injetado com pintura eletrostática a pó</v>
      </c>
      <c r="E202" s="507">
        <f>IFERROR(VLOOKUP(D202,Planilha!$B$10:$AC$943,4,FALSE),0)</f>
        <v>0</v>
      </c>
      <c r="F202" s="508">
        <f>IFERROR(VLOOKUP(E202,Planilha!$B$10:$AC$943,4,FALSE),0)</f>
        <v>0</v>
      </c>
      <c r="G202" s="75" t="str">
        <f>IFERROR(VLOOKUP(B202,Fontes!$A$9:$AC$6124,3,FALSE),0)</f>
        <v>un</v>
      </c>
      <c r="H202" s="75">
        <v>1</v>
      </c>
      <c r="I202" s="77">
        <v>680</v>
      </c>
      <c r="J202" s="264">
        <v>120</v>
      </c>
      <c r="K202" s="77" t="s">
        <v>2228</v>
      </c>
      <c r="L202" s="264">
        <v>53.380782918149464</v>
      </c>
      <c r="M202" s="77"/>
      <c r="N202" s="264"/>
      <c r="O202" s="78">
        <f t="shared" si="10"/>
        <v>680</v>
      </c>
      <c r="P202" s="78">
        <f t="shared" si="11"/>
        <v>53.380782918149464</v>
      </c>
      <c r="S202" s="18"/>
      <c r="T202" s="18"/>
      <c r="W202" s="53"/>
      <c r="X202" s="53"/>
    </row>
    <row r="203" spans="2:24" ht="30" customHeight="1" x14ac:dyDescent="0.2">
      <c r="B203" s="83" t="s">
        <v>1704</v>
      </c>
      <c r="C203" s="74">
        <v>63</v>
      </c>
      <c r="D203" s="506" t="str">
        <f>IFERROR(VLOOKUP(B203,Fontes!$A$9:$AC$6124,2,FALSE),0)</f>
        <v>Luminária arandela 45°, led e27, pot. 13w - ip-65, com visor em vidro com grade e corpo alumínio injetado com pintura eletrostática a pó</v>
      </c>
      <c r="E203" s="507">
        <f>IFERROR(VLOOKUP(D203,Planilha!$B$10:$AC$943,4,FALSE),0)</f>
        <v>0</v>
      </c>
      <c r="F203" s="508">
        <f>IFERROR(VLOOKUP(E203,Planilha!$B$10:$AC$943,4,FALSE),0)</f>
        <v>0</v>
      </c>
      <c r="G203" s="75" t="str">
        <f>IFERROR(VLOOKUP(B203,Fontes!$A$9:$AC$6124,3,FALSE),0)</f>
        <v>un</v>
      </c>
      <c r="H203" s="75">
        <v>1</v>
      </c>
      <c r="I203" s="77">
        <v>739.5</v>
      </c>
      <c r="J203" s="264">
        <v>120</v>
      </c>
      <c r="K203" s="77" t="s">
        <v>2228</v>
      </c>
      <c r="L203" s="264">
        <v>53.380782918149464</v>
      </c>
      <c r="M203" s="77"/>
      <c r="N203" s="264"/>
      <c r="O203" s="78">
        <f t="shared" si="10"/>
        <v>739.5</v>
      </c>
      <c r="P203" s="78">
        <f t="shared" si="11"/>
        <v>53.380782918149464</v>
      </c>
      <c r="S203" s="18"/>
      <c r="T203" s="18"/>
      <c r="W203" s="53"/>
      <c r="X203" s="53"/>
    </row>
    <row r="204" spans="2:24" ht="30" customHeight="1" x14ac:dyDescent="0.2">
      <c r="B204" s="83" t="s">
        <v>1705</v>
      </c>
      <c r="C204" s="74">
        <v>64</v>
      </c>
      <c r="D204" s="506" t="str">
        <f>IFERROR(VLOOKUP(B204,Fontes!$A$9:$AC$6124,2,FALSE),0)</f>
        <v>Luminária de emergência, sobrepor, unidade autônoma, led 4w, com indicação de saída, para instalação no teto</v>
      </c>
      <c r="E204" s="507">
        <f>IFERROR(VLOOKUP(D204,Planilha!$B$10:$AC$943,4,FALSE),0)</f>
        <v>0</v>
      </c>
      <c r="F204" s="508">
        <f>IFERROR(VLOOKUP(E204,Planilha!$B$10:$AC$943,4,FALSE),0)</f>
        <v>0</v>
      </c>
      <c r="G204" s="75" t="str">
        <f>IFERROR(VLOOKUP(B204,Fontes!$A$9:$AC$6124,3,FALSE),0)</f>
        <v>un</v>
      </c>
      <c r="H204" s="75">
        <v>1</v>
      </c>
      <c r="I204" s="77">
        <v>127.5</v>
      </c>
      <c r="J204" s="264">
        <v>120</v>
      </c>
      <c r="K204" s="77" t="s">
        <v>2228</v>
      </c>
      <c r="L204" s="264">
        <v>53.380782918149464</v>
      </c>
      <c r="M204" s="77"/>
      <c r="N204" s="264"/>
      <c r="O204" s="78">
        <f t="shared" si="10"/>
        <v>127.5</v>
      </c>
      <c r="P204" s="78">
        <f t="shared" si="11"/>
        <v>53.380782918149464</v>
      </c>
      <c r="S204" s="18"/>
      <c r="T204" s="18"/>
      <c r="W204" s="53"/>
      <c r="X204" s="53"/>
    </row>
    <row r="205" spans="2:24" ht="30" customHeight="1" x14ac:dyDescent="0.2">
      <c r="B205" s="83" t="s">
        <v>1706</v>
      </c>
      <c r="C205" s="74">
        <v>65</v>
      </c>
      <c r="D205" s="506" t="str">
        <f>IFERROR(VLOOKUP(B205,Fontes!$A$9:$AC$6124,2,FALSE),0)</f>
        <v>Luminária de emergência, sobrepor, unidade autônoma, led 4w, com indicação de saída, para instalação em parede</v>
      </c>
      <c r="E205" s="507">
        <f>IFERROR(VLOOKUP(D205,Planilha!$B$10:$AC$943,4,FALSE),0)</f>
        <v>0</v>
      </c>
      <c r="F205" s="508">
        <f>IFERROR(VLOOKUP(E205,Planilha!$B$10:$AC$943,4,FALSE),0)</f>
        <v>0</v>
      </c>
      <c r="G205" s="75" t="str">
        <f>IFERROR(VLOOKUP(B205,Fontes!$A$9:$AC$6124,3,FALSE),0)</f>
        <v>un</v>
      </c>
      <c r="H205" s="75">
        <v>1</v>
      </c>
      <c r="I205" s="77">
        <v>127.5</v>
      </c>
      <c r="J205" s="264">
        <v>120</v>
      </c>
      <c r="K205" s="77" t="s">
        <v>2228</v>
      </c>
      <c r="L205" s="264">
        <v>53.380782918149464</v>
      </c>
      <c r="M205" s="77"/>
      <c r="N205" s="264"/>
      <c r="O205" s="78">
        <f t="shared" ref="O205:O259" si="12">IFERROR(+MIN(I205,K205,M205),0)</f>
        <v>127.5</v>
      </c>
      <c r="P205" s="78">
        <f t="shared" ref="P205:P259" si="13">IFERROR(+MIN(J205,L205,N205),0)</f>
        <v>53.380782918149464</v>
      </c>
      <c r="S205" s="18"/>
      <c r="T205" s="18"/>
      <c r="W205" s="53"/>
      <c r="X205" s="53"/>
    </row>
    <row r="206" spans="2:24" ht="30" customHeight="1" x14ac:dyDescent="0.2">
      <c r="B206" s="83" t="s">
        <v>1707</v>
      </c>
      <c r="C206" s="74">
        <v>66</v>
      </c>
      <c r="D206" s="506" t="str">
        <f>IFERROR(VLOOKUP(B206,Fontes!$A$9:$AC$6124,2,FALSE),0)</f>
        <v>Luminária de emergência, sobrepor, unidade autônoma, led 4w, aclaramento, para instalação em parede</v>
      </c>
      <c r="E206" s="507">
        <f>IFERROR(VLOOKUP(D206,Planilha!$B$10:$AC$943,4,FALSE),0)</f>
        <v>0</v>
      </c>
      <c r="F206" s="508">
        <f>IFERROR(VLOOKUP(E206,Planilha!$B$10:$AC$943,4,FALSE),0)</f>
        <v>0</v>
      </c>
      <c r="G206" s="75" t="str">
        <f>IFERROR(VLOOKUP(B206,Fontes!$A$9:$AC$6124,3,FALSE),0)</f>
        <v>un</v>
      </c>
      <c r="H206" s="75">
        <v>1</v>
      </c>
      <c r="I206" s="77">
        <v>127.5</v>
      </c>
      <c r="J206" s="264">
        <v>120</v>
      </c>
      <c r="K206" s="77" t="s">
        <v>2228</v>
      </c>
      <c r="L206" s="264">
        <v>53.380782918149464</v>
      </c>
      <c r="M206" s="77"/>
      <c r="N206" s="264"/>
      <c r="O206" s="78">
        <f t="shared" si="12"/>
        <v>127.5</v>
      </c>
      <c r="P206" s="78">
        <f t="shared" si="13"/>
        <v>53.380782918149464</v>
      </c>
      <c r="S206" s="18"/>
      <c r="T206" s="18"/>
      <c r="W206" s="53"/>
      <c r="X206" s="53"/>
    </row>
    <row r="207" spans="2:24" ht="30" customHeight="1" x14ac:dyDescent="0.2">
      <c r="B207" s="83" t="s">
        <v>1708</v>
      </c>
      <c r="C207" s="74">
        <v>67</v>
      </c>
      <c r="D207" s="506" t="str">
        <f>IFERROR(VLOOKUP(B207,Fontes!$A$9:$AC$6124,2,FALSE),0)</f>
        <v>Unidade autônoma de soprepor com 2 projetores em led de 2x55w de alta intensidade luminosa</v>
      </c>
      <c r="E207" s="507">
        <f>IFERROR(VLOOKUP(D207,Planilha!$B$10:$AC$943,4,FALSE),0)</f>
        <v>0</v>
      </c>
      <c r="F207" s="508">
        <f>IFERROR(VLOOKUP(E207,Planilha!$B$10:$AC$943,4,FALSE),0)</f>
        <v>0</v>
      </c>
      <c r="G207" s="75" t="str">
        <f>IFERROR(VLOOKUP(B207,Fontes!$A$9:$AC$6124,3,FALSE),0)</f>
        <v>un</v>
      </c>
      <c r="H207" s="75">
        <v>1</v>
      </c>
      <c r="I207" s="77">
        <v>127.5</v>
      </c>
      <c r="J207" s="264">
        <v>120</v>
      </c>
      <c r="K207" s="77" t="s">
        <v>2228</v>
      </c>
      <c r="L207" s="264">
        <v>53.380782918149464</v>
      </c>
      <c r="M207" s="77"/>
      <c r="N207" s="264"/>
      <c r="O207" s="78">
        <f t="shared" si="12"/>
        <v>127.5</v>
      </c>
      <c r="P207" s="78">
        <f t="shared" si="13"/>
        <v>53.380782918149464</v>
      </c>
      <c r="S207" s="18"/>
      <c r="T207" s="18"/>
      <c r="W207" s="53"/>
      <c r="X207" s="53"/>
    </row>
    <row r="208" spans="2:24" ht="30" customHeight="1" x14ac:dyDescent="0.2">
      <c r="B208" s="83" t="s">
        <v>1709</v>
      </c>
      <c r="C208" s="74">
        <v>68</v>
      </c>
      <c r="D208" s="506" t="str">
        <f>IFERROR(VLOOKUP(B208,Fontes!$A$9:$AC$6124,2,FALSE),0)</f>
        <v>Cabo de cobre nú, 7 fios, inclusive isoladores # 35mm²</v>
      </c>
      <c r="E208" s="507">
        <f>IFERROR(VLOOKUP(D208,Planilha!$B$10:$AC$943,4,FALSE),0)</f>
        <v>0</v>
      </c>
      <c r="F208" s="508">
        <f>IFERROR(VLOOKUP(E208,Planilha!$B$10:$AC$943,4,FALSE),0)</f>
        <v>0</v>
      </c>
      <c r="G208" s="75" t="str">
        <f>IFERROR(VLOOKUP(B208,Fontes!$A$9:$AC$6124,3,FALSE),0)</f>
        <v>m</v>
      </c>
      <c r="H208" s="75">
        <v>1</v>
      </c>
      <c r="I208" s="77">
        <v>47.26</v>
      </c>
      <c r="J208" s="264">
        <v>135</v>
      </c>
      <c r="K208" s="77">
        <v>33.723000000000006</v>
      </c>
      <c r="L208" s="264">
        <v>34.061504460711809</v>
      </c>
      <c r="M208" s="77"/>
      <c r="N208" s="264"/>
      <c r="O208" s="78">
        <f t="shared" si="12"/>
        <v>33.723000000000006</v>
      </c>
      <c r="P208" s="78">
        <f t="shared" si="13"/>
        <v>34.061504460711809</v>
      </c>
      <c r="S208" s="18"/>
      <c r="T208" s="18"/>
      <c r="W208" s="53"/>
      <c r="X208" s="53"/>
    </row>
    <row r="209" spans="2:24" ht="30" customHeight="1" x14ac:dyDescent="0.2">
      <c r="B209" s="83" t="s">
        <v>1710</v>
      </c>
      <c r="C209" s="74">
        <v>69</v>
      </c>
      <c r="D209" s="506" t="str">
        <f>IFERROR(VLOOKUP(B209,Fontes!$A$9:$AC$6124,2,FALSE),0)</f>
        <v>Cabo de cobre nú, 7 fios, inclusive isoladores # 50mm²</v>
      </c>
      <c r="E209" s="507">
        <f>IFERROR(VLOOKUP(D209,Planilha!$B$10:$AC$943,4,FALSE),0)</f>
        <v>0</v>
      </c>
      <c r="F209" s="508">
        <f>IFERROR(VLOOKUP(E209,Planilha!$B$10:$AC$943,4,FALSE),0)</f>
        <v>0</v>
      </c>
      <c r="G209" s="75" t="str">
        <f>IFERROR(VLOOKUP(B209,Fontes!$A$9:$AC$6124,3,FALSE),0)</f>
        <v>m</v>
      </c>
      <c r="H209" s="75">
        <v>1</v>
      </c>
      <c r="I209" s="77">
        <v>73.865000000000009</v>
      </c>
      <c r="J209" s="264">
        <v>135</v>
      </c>
      <c r="K209" s="77">
        <v>48.5595</v>
      </c>
      <c r="L209" s="264">
        <v>49.04693016220191</v>
      </c>
      <c r="M209" s="77"/>
      <c r="N209" s="264"/>
      <c r="O209" s="78">
        <f t="shared" si="12"/>
        <v>48.5595</v>
      </c>
      <c r="P209" s="78">
        <f t="shared" si="13"/>
        <v>49.04693016220191</v>
      </c>
      <c r="S209" s="18"/>
      <c r="T209" s="18"/>
      <c r="W209" s="53"/>
      <c r="X209" s="53"/>
    </row>
    <row r="210" spans="2:24" ht="30" customHeight="1" x14ac:dyDescent="0.2">
      <c r="B210" s="83" t="s">
        <v>1711</v>
      </c>
      <c r="C210" s="74">
        <v>70</v>
      </c>
      <c r="D210" s="506" t="str">
        <f>IFERROR(VLOOKUP(B210,Fontes!$A$9:$AC$6124,2,FALSE),0)</f>
        <v>Terminal à pressão reforçado para conexão de cabo de cobre à barra de aterramento, # 35mm² a  # 70mm²</v>
      </c>
      <c r="E210" s="507">
        <f>IFERROR(VLOOKUP(D210,Planilha!$B$10:$AC$943,4,FALSE),0)</f>
        <v>0</v>
      </c>
      <c r="F210" s="508">
        <f>IFERROR(VLOOKUP(E210,Planilha!$B$10:$AC$943,4,FALSE),0)</f>
        <v>0</v>
      </c>
      <c r="G210" s="75" t="str">
        <f>IFERROR(VLOOKUP(B210,Fontes!$A$9:$AC$6124,3,FALSE),0)</f>
        <v>un</v>
      </c>
      <c r="H210" s="75">
        <v>1</v>
      </c>
      <c r="I210" s="77">
        <v>54.4</v>
      </c>
      <c r="J210" s="264">
        <v>75</v>
      </c>
      <c r="K210" s="77">
        <v>12.568500000000002</v>
      </c>
      <c r="L210" s="264">
        <v>12.694659989160408</v>
      </c>
      <c r="M210" s="77"/>
      <c r="N210" s="264"/>
      <c r="O210" s="78">
        <f t="shared" si="12"/>
        <v>12.568500000000002</v>
      </c>
      <c r="P210" s="78">
        <f t="shared" si="13"/>
        <v>12.694659989160408</v>
      </c>
      <c r="S210" s="18"/>
      <c r="T210" s="18"/>
      <c r="W210" s="53"/>
      <c r="X210" s="53"/>
    </row>
    <row r="211" spans="2:24" ht="30" customHeight="1" x14ac:dyDescent="0.2">
      <c r="B211" s="83" t="s">
        <v>1712</v>
      </c>
      <c r="C211" s="74">
        <v>71</v>
      </c>
      <c r="D211" s="506" t="str">
        <f>IFERROR(VLOOKUP(B211,Fontes!$A$9:$AC$6124,2,FALSE),0)</f>
        <v>Caixa de inspeção em PVC com tampa metálica para aterramento, diâmetro 300mm e altura 400mm</v>
      </c>
      <c r="E211" s="507">
        <f>IFERROR(VLOOKUP(D211,Planilha!$B$10:$AC$943,4,FALSE),0)</f>
        <v>0</v>
      </c>
      <c r="F211" s="508">
        <f>IFERROR(VLOOKUP(E211,Planilha!$B$10:$AC$943,4,FALSE),0)</f>
        <v>0</v>
      </c>
      <c r="G211" s="75" t="str">
        <f>IFERROR(VLOOKUP(B211,Fontes!$A$9:$AC$6124,3,FALSE),0)</f>
        <v>un</v>
      </c>
      <c r="H211" s="75">
        <v>1</v>
      </c>
      <c r="I211" s="77">
        <v>51</v>
      </c>
      <c r="J211" s="264">
        <v>180</v>
      </c>
      <c r="K211" s="77">
        <v>26.959499999999998</v>
      </c>
      <c r="L211" s="264">
        <v>27.230113854300029</v>
      </c>
      <c r="M211" s="77"/>
      <c r="N211" s="264"/>
      <c r="O211" s="78">
        <f t="shared" si="12"/>
        <v>26.959499999999998</v>
      </c>
      <c r="P211" s="78">
        <f t="shared" si="13"/>
        <v>27.230113854300029</v>
      </c>
      <c r="S211" s="18"/>
      <c r="T211" s="18"/>
      <c r="W211" s="53"/>
      <c r="X211" s="53"/>
    </row>
    <row r="212" spans="2:24" ht="30" customHeight="1" x14ac:dyDescent="0.2">
      <c r="B212" s="83" t="s">
        <v>1713</v>
      </c>
      <c r="C212" s="74">
        <v>72</v>
      </c>
      <c r="D212" s="506" t="str">
        <f>IFERROR(VLOOKUP(B212,Fontes!$A$9:$AC$6124,2,FALSE),0)</f>
        <v>Haste de aterramento tipo Cooperweld de cobre - 5/8" x 3,00m, com conector</v>
      </c>
      <c r="E212" s="507">
        <f>IFERROR(VLOOKUP(D212,Planilha!$B$10:$AC$943,4,FALSE),0)</f>
        <v>0</v>
      </c>
      <c r="F212" s="508">
        <f>IFERROR(VLOOKUP(E212,Planilha!$B$10:$AC$943,4,FALSE),0)</f>
        <v>0</v>
      </c>
      <c r="G212" s="75" t="str">
        <f>IFERROR(VLOOKUP(B212,Fontes!$A$9:$AC$6124,3,FALSE),0)</f>
        <v>un</v>
      </c>
      <c r="H212" s="75">
        <v>1</v>
      </c>
      <c r="I212" s="77">
        <v>88.399999999999991</v>
      </c>
      <c r="J212" s="264">
        <v>300</v>
      </c>
      <c r="K212" s="77">
        <v>179.95500000000004</v>
      </c>
      <c r="L212" s="264">
        <v>181.76135086520756</v>
      </c>
      <c r="M212" s="77"/>
      <c r="N212" s="264"/>
      <c r="O212" s="78">
        <f t="shared" si="12"/>
        <v>88.399999999999991</v>
      </c>
      <c r="P212" s="78">
        <f t="shared" si="13"/>
        <v>181.76135086520756</v>
      </c>
      <c r="S212" s="18"/>
      <c r="T212" s="18"/>
      <c r="W212" s="53"/>
      <c r="X212" s="53"/>
    </row>
    <row r="213" spans="2:24" ht="30" customHeight="1" x14ac:dyDescent="0.2">
      <c r="B213" s="83" t="s">
        <v>1714</v>
      </c>
      <c r="C213" s="74">
        <v>73</v>
      </c>
      <c r="D213" s="506" t="str">
        <f>IFERROR(VLOOKUP(B213,Fontes!$A$9:$AC$6124,2,FALSE),0)</f>
        <v>Barra Chata em Alumínio 7/8"x1/8"mmx3,00m, inclusive acessórios e conexões</v>
      </c>
      <c r="E213" s="507">
        <f>IFERROR(VLOOKUP(D213,Planilha!$B$10:$AC$943,4,FALSE),0)</f>
        <v>0</v>
      </c>
      <c r="F213" s="508">
        <f>IFERROR(VLOOKUP(E213,Planilha!$B$10:$AC$943,4,FALSE),0)</f>
        <v>0</v>
      </c>
      <c r="G213" s="75" t="str">
        <f>IFERROR(VLOOKUP(B213,Fontes!$A$9:$AC$6124,3,FALSE),0)</f>
        <v>un</v>
      </c>
      <c r="H213" s="75">
        <v>1</v>
      </c>
      <c r="I213" s="77">
        <v>78.2</v>
      </c>
      <c r="J213" s="264">
        <v>45</v>
      </c>
      <c r="K213" s="77">
        <v>37.800000000000004</v>
      </c>
      <c r="L213" s="264">
        <v>38.17942853882829</v>
      </c>
      <c r="M213" s="77"/>
      <c r="N213" s="264"/>
      <c r="O213" s="78">
        <f t="shared" si="12"/>
        <v>37.800000000000004</v>
      </c>
      <c r="P213" s="78">
        <f t="shared" si="13"/>
        <v>38.17942853882829</v>
      </c>
      <c r="S213" s="18"/>
      <c r="T213" s="18"/>
      <c r="W213" s="53"/>
      <c r="X213" s="53"/>
    </row>
    <row r="214" spans="2:24" ht="30" customHeight="1" x14ac:dyDescent="0.2">
      <c r="B214" s="83" t="s">
        <v>1715</v>
      </c>
      <c r="C214" s="74">
        <v>74</v>
      </c>
      <c r="D214" s="506" t="str">
        <f>IFERROR(VLOOKUP(B214,Fontes!$A$9:$AC$6124,2,FALSE),0)</f>
        <v>Sinalizador para balizamento aéreo Duplo p/ duas Lâmpadas 60W c/ Relé Fotoelétrico 127 V</v>
      </c>
      <c r="E214" s="507">
        <f>IFERROR(VLOOKUP(D214,Planilha!$B$10:$AC$943,4,FALSE),0)</f>
        <v>0</v>
      </c>
      <c r="F214" s="508">
        <f>IFERROR(VLOOKUP(E214,Planilha!$B$10:$AC$943,4,FALSE),0)</f>
        <v>0</v>
      </c>
      <c r="G214" s="75" t="str">
        <f>IFERROR(VLOOKUP(B214,Fontes!$A$9:$AC$6124,3,FALSE),0)</f>
        <v>un</v>
      </c>
      <c r="H214" s="75">
        <v>1</v>
      </c>
      <c r="I214" s="77">
        <v>181.9</v>
      </c>
      <c r="J214" s="264">
        <v>45</v>
      </c>
      <c r="K214" s="77">
        <v>162</v>
      </c>
      <c r="L214" s="264">
        <v>163.62612230926408</v>
      </c>
      <c r="M214" s="77"/>
      <c r="N214" s="264"/>
      <c r="O214" s="78">
        <f t="shared" si="12"/>
        <v>162</v>
      </c>
      <c r="P214" s="78">
        <f t="shared" si="13"/>
        <v>45</v>
      </c>
      <c r="S214" s="18"/>
      <c r="T214" s="18"/>
      <c r="W214" s="53"/>
      <c r="X214" s="53"/>
    </row>
    <row r="215" spans="2:24" ht="30" customHeight="1" x14ac:dyDescent="0.2">
      <c r="B215" s="83" t="s">
        <v>1716</v>
      </c>
      <c r="C215" s="74">
        <v>75</v>
      </c>
      <c r="D215" s="506" t="str">
        <f>IFERROR(VLOOKUP(B215,Fontes!$A$9:$AC$6124,2,FALSE),0)</f>
        <v>Terminal Aéreo em Barra chara de alumínio 7/8"x1/8"mm e altura de 60cm</v>
      </c>
      <c r="E215" s="507">
        <f>IFERROR(VLOOKUP(D215,Planilha!$B$10:$AC$943,4,FALSE),0)</f>
        <v>0</v>
      </c>
      <c r="F215" s="508">
        <f>IFERROR(VLOOKUP(E215,Planilha!$B$10:$AC$943,4,FALSE),0)</f>
        <v>0</v>
      </c>
      <c r="G215" s="75" t="str">
        <f>IFERROR(VLOOKUP(B215,Fontes!$A$9:$AC$6124,3,FALSE),0)</f>
        <v>un</v>
      </c>
      <c r="H215" s="75">
        <v>1</v>
      </c>
      <c r="I215" s="77">
        <v>9.01</v>
      </c>
      <c r="J215" s="264">
        <v>45</v>
      </c>
      <c r="K215" s="77">
        <v>19.305000000000003</v>
      </c>
      <c r="L215" s="264">
        <v>19.498779575187307</v>
      </c>
      <c r="M215" s="77"/>
      <c r="N215" s="264"/>
      <c r="O215" s="78">
        <f t="shared" si="12"/>
        <v>9.01</v>
      </c>
      <c r="P215" s="78">
        <f t="shared" si="13"/>
        <v>19.498779575187307</v>
      </c>
      <c r="S215" s="18"/>
      <c r="T215" s="18"/>
      <c r="W215" s="53"/>
      <c r="X215" s="53"/>
    </row>
    <row r="216" spans="2:24" ht="30" customHeight="1" x14ac:dyDescent="0.2">
      <c r="B216" s="83" t="s">
        <v>1717</v>
      </c>
      <c r="C216" s="74">
        <v>76</v>
      </c>
      <c r="D216" s="506" t="str">
        <f>IFERROR(VLOOKUP(B216,Fontes!$A$9:$AC$6124,2,FALSE),0)</f>
        <v>Barramento de Equipotencialização 2"x 1/4" ISOLADO, instalado em caixa metálica de sobrepor 300x300x120mm com tampa.</v>
      </c>
      <c r="E216" s="507">
        <f>IFERROR(VLOOKUP(D216,Planilha!$B$10:$AC$943,4,FALSE),0)</f>
        <v>0</v>
      </c>
      <c r="F216" s="508">
        <f>IFERROR(VLOOKUP(E216,Planilha!$B$10:$AC$943,4,FALSE),0)</f>
        <v>0</v>
      </c>
      <c r="G216" s="75" t="str">
        <f>IFERROR(VLOOKUP(B216,Fontes!$A$9:$AC$6124,3,FALSE),0)</f>
        <v>cj</v>
      </c>
      <c r="H216" s="75">
        <v>1</v>
      </c>
      <c r="I216" s="77">
        <v>816</v>
      </c>
      <c r="J216" s="264">
        <v>45</v>
      </c>
      <c r="K216" s="77">
        <v>243.00000000000003</v>
      </c>
      <c r="L216" s="264">
        <v>245.43918346389617</v>
      </c>
      <c r="M216" s="77"/>
      <c r="N216" s="264"/>
      <c r="O216" s="78">
        <f t="shared" si="12"/>
        <v>243.00000000000003</v>
      </c>
      <c r="P216" s="78">
        <f t="shared" si="13"/>
        <v>45</v>
      </c>
      <c r="S216" s="18"/>
      <c r="T216" s="18"/>
      <c r="W216" s="53"/>
      <c r="X216" s="53"/>
    </row>
    <row r="217" spans="2:24" ht="30" customHeight="1" x14ac:dyDescent="0.2">
      <c r="B217" s="83" t="s">
        <v>1718</v>
      </c>
      <c r="C217" s="74">
        <v>77</v>
      </c>
      <c r="D217" s="506" t="str">
        <f>IFERROR(VLOOKUP(B217,Fontes!$A$9:$AC$6124,2,FALSE),0)</f>
        <v>Conector Aterrinsert com disco de latão, rosca fêmea M12 e  distância do condutor regulável.</v>
      </c>
      <c r="E217" s="507">
        <f>IFERROR(VLOOKUP(D217,Planilha!$B$10:$AC$943,4,FALSE),0)</f>
        <v>0</v>
      </c>
      <c r="F217" s="508">
        <f>IFERROR(VLOOKUP(E217,Planilha!$B$10:$AC$943,4,FALSE),0)</f>
        <v>0</v>
      </c>
      <c r="G217" s="75" t="str">
        <f>IFERROR(VLOOKUP(B217,Fontes!$A$9:$AC$6124,3,FALSE),0)</f>
        <v>un</v>
      </c>
      <c r="H217" s="75">
        <v>1</v>
      </c>
      <c r="I217" s="77">
        <v>119</v>
      </c>
      <c r="J217" s="264">
        <v>45</v>
      </c>
      <c r="K217" s="77">
        <v>111.64500000000001</v>
      </c>
      <c r="L217" s="264">
        <v>112.76566929146783</v>
      </c>
      <c r="M217" s="77"/>
      <c r="N217" s="264"/>
      <c r="O217" s="78">
        <f t="shared" si="12"/>
        <v>111.64500000000001</v>
      </c>
      <c r="P217" s="78">
        <f t="shared" si="13"/>
        <v>45</v>
      </c>
      <c r="S217" s="18"/>
      <c r="T217" s="18"/>
      <c r="W217" s="53"/>
      <c r="X217" s="53"/>
    </row>
    <row r="218" spans="2:24" ht="30" customHeight="1" x14ac:dyDescent="0.2">
      <c r="B218" s="83" t="s">
        <v>1719</v>
      </c>
      <c r="C218" s="74">
        <v>78</v>
      </c>
      <c r="D218" s="506" t="str">
        <f>IFERROR(VLOOKUP(B218,Fontes!$A$9:$AC$6124,2,FALSE),0)</f>
        <v>Tela em Inox 1,5mm para equipotencialização de cilindros de gases</v>
      </c>
      <c r="E218" s="507">
        <f>IFERROR(VLOOKUP(D218,Planilha!$B$10:$AC$943,4,FALSE),0)</f>
        <v>0</v>
      </c>
      <c r="F218" s="508">
        <f>IFERROR(VLOOKUP(E218,Planilha!$B$10:$AC$943,4,FALSE),0)</f>
        <v>0</v>
      </c>
      <c r="G218" s="75" t="str">
        <f>IFERROR(VLOOKUP(B218,Fontes!$A$9:$AC$6124,3,FALSE),0)</f>
        <v>m</v>
      </c>
      <c r="H218" s="75">
        <v>1</v>
      </c>
      <c r="I218" s="77">
        <v>510</v>
      </c>
      <c r="J218" s="264">
        <v>45</v>
      </c>
      <c r="K218" s="77" t="s">
        <v>2228</v>
      </c>
      <c r="L218" s="264" t="s">
        <v>2228</v>
      </c>
      <c r="M218" s="77"/>
      <c r="N218" s="264"/>
      <c r="O218" s="78">
        <f t="shared" si="12"/>
        <v>510</v>
      </c>
      <c r="P218" s="78">
        <f t="shared" si="13"/>
        <v>45</v>
      </c>
      <c r="S218" s="18"/>
      <c r="T218" s="18"/>
      <c r="W218" s="53"/>
      <c r="X218" s="53"/>
    </row>
    <row r="219" spans="2:24" ht="30" customHeight="1" x14ac:dyDescent="0.2">
      <c r="B219" s="83" t="s">
        <v>1720</v>
      </c>
      <c r="C219" s="74">
        <v>79</v>
      </c>
      <c r="D219" s="506" t="str">
        <f>IFERROR(VLOOKUP(B219,Fontes!$A$9:$AC$6124,2,FALSE),0)</f>
        <v>Conector cabo-haste em bronze para 1 cabos # 16-70mm²</v>
      </c>
      <c r="E219" s="507">
        <f>IFERROR(VLOOKUP(D219,Planilha!$B$10:$AC$943,4,FALSE),0)</f>
        <v>0</v>
      </c>
      <c r="F219" s="508">
        <f>IFERROR(VLOOKUP(E219,Planilha!$B$10:$AC$943,4,FALSE),0)</f>
        <v>0</v>
      </c>
      <c r="G219" s="75" t="str">
        <f>IFERROR(VLOOKUP(B219,Fontes!$A$9:$AC$6124,3,FALSE),0)</f>
        <v>m</v>
      </c>
      <c r="H219" s="75">
        <v>1</v>
      </c>
      <c r="I219" s="77">
        <v>136</v>
      </c>
      <c r="J219" s="264">
        <v>45</v>
      </c>
      <c r="K219" s="77">
        <v>35.4375</v>
      </c>
      <c r="L219" s="264">
        <v>35.793214255151518</v>
      </c>
      <c r="M219" s="77"/>
      <c r="N219" s="264"/>
      <c r="O219" s="78">
        <f t="shared" si="12"/>
        <v>35.4375</v>
      </c>
      <c r="P219" s="78">
        <f t="shared" si="13"/>
        <v>35.793214255151518</v>
      </c>
      <c r="S219" s="18"/>
      <c r="T219" s="18"/>
      <c r="W219" s="53"/>
      <c r="X219" s="53"/>
    </row>
    <row r="220" spans="2:24" ht="30" customHeight="1" x14ac:dyDescent="0.2">
      <c r="B220" s="83" t="s">
        <v>1721</v>
      </c>
      <c r="C220" s="74">
        <v>80</v>
      </c>
      <c r="D220" s="506" t="str">
        <f>IFERROR(VLOOKUP(B220,Fontes!$A$9:$AC$6124,2,FALSE),0)</f>
        <v>Conector cabo-haste em bronze para 2 cabos # 16-70mm²</v>
      </c>
      <c r="E220" s="507">
        <f>IFERROR(VLOOKUP(D220,Planilha!$B$10:$AC$943,4,FALSE),0)</f>
        <v>0</v>
      </c>
      <c r="F220" s="508">
        <f>IFERROR(VLOOKUP(E220,Planilha!$B$10:$AC$943,4,FALSE),0)</f>
        <v>0</v>
      </c>
      <c r="G220" s="75" t="str">
        <f>IFERROR(VLOOKUP(B220,Fontes!$A$9:$AC$6124,3,FALSE),0)</f>
        <v>m</v>
      </c>
      <c r="H220" s="75">
        <v>1</v>
      </c>
      <c r="I220" s="77">
        <v>170</v>
      </c>
      <c r="J220" s="264">
        <v>45</v>
      </c>
      <c r="K220" s="77">
        <v>53.73</v>
      </c>
      <c r="L220" s="264">
        <v>54.269330565905911</v>
      </c>
      <c r="M220" s="77"/>
      <c r="N220" s="264"/>
      <c r="O220" s="78">
        <f t="shared" si="12"/>
        <v>53.73</v>
      </c>
      <c r="P220" s="78">
        <f t="shared" si="13"/>
        <v>45</v>
      </c>
      <c r="S220" s="18"/>
      <c r="T220" s="18"/>
      <c r="W220" s="53"/>
      <c r="X220" s="53"/>
    </row>
    <row r="221" spans="2:24" ht="71.25" customHeight="1" x14ac:dyDescent="0.2">
      <c r="B221" s="83" t="s">
        <v>1722</v>
      </c>
      <c r="C221" s="74">
        <v>81</v>
      </c>
      <c r="D221" s="506" t="str">
        <f>IFERROR(VLOOKUP(B221,Fontes!$A$9:$AC$6124,2,FALSE),0)</f>
        <v>Quadro Geral de Baixa Tensão TTA ou PTTA conforme ABNT NBR IEC 60439-1, composto por barramentos de fase (03) , neutro e terra. Dispositivo de Proteção contra Surtos nas fases e neutro, protegido por chave seccionadora 125A, aterramento da porta. Disjuntor geral  de 2.500A/40kA com módulo de interface Modbus (Micrologic), e disjuntores secundários conforme diagrama de projeto (QGBT)</v>
      </c>
      <c r="E221" s="507">
        <f>IFERROR(VLOOKUP(D221,Planilha!$B$10:$AC$943,4,FALSE),0)</f>
        <v>0</v>
      </c>
      <c r="F221" s="508">
        <f>IFERROR(VLOOKUP(E221,Planilha!$B$10:$AC$943,4,FALSE),0)</f>
        <v>0</v>
      </c>
      <c r="G221" s="75" t="str">
        <f>IFERROR(VLOOKUP(B221,Fontes!$A$9:$AC$6124,3,FALSE),0)</f>
        <v>cj</v>
      </c>
      <c r="H221" s="75">
        <v>1</v>
      </c>
      <c r="I221" s="77">
        <v>85000</v>
      </c>
      <c r="J221" s="264">
        <v>37500</v>
      </c>
      <c r="K221" s="77">
        <v>378000</v>
      </c>
      <c r="L221" s="264">
        <v>40000</v>
      </c>
      <c r="M221" s="77"/>
      <c r="N221" s="264"/>
      <c r="O221" s="78">
        <f t="shared" si="12"/>
        <v>85000</v>
      </c>
      <c r="P221" s="78">
        <f t="shared" si="13"/>
        <v>37500</v>
      </c>
      <c r="S221" s="18"/>
      <c r="T221" s="18"/>
      <c r="W221" s="53"/>
      <c r="X221" s="53"/>
    </row>
    <row r="222" spans="2:24" ht="30" customHeight="1" x14ac:dyDescent="0.2">
      <c r="B222" s="83" t="s">
        <v>1723</v>
      </c>
      <c r="C222" s="74">
        <v>82</v>
      </c>
      <c r="D222" s="553" t="str">
        <f>IFERROR(VLOOKUP(B222,Fontes!$A$9:$AC$6124,2,FALSE),0)</f>
        <v>Quadro Tranferencia Automática composto por chave de transferência automatica 2.500A e Controlador Multiprocessado para supervisão. (QTA)</v>
      </c>
      <c r="E222" s="554">
        <f>IFERROR(VLOOKUP(D222,Planilha!$B$10:$AC$943,4,FALSE),0)</f>
        <v>0</v>
      </c>
      <c r="F222" s="555">
        <f>IFERROR(VLOOKUP(E222,Planilha!$B$10:$AC$943,4,FALSE),0)</f>
        <v>0</v>
      </c>
      <c r="G222" s="75" t="str">
        <f>IFERROR(VLOOKUP(B222,Fontes!$A$9:$AC$6124,3,FALSE),0)</f>
        <v>cj</v>
      </c>
      <c r="H222" s="75">
        <v>1</v>
      </c>
      <c r="I222" s="77">
        <v>54400</v>
      </c>
      <c r="J222" s="264">
        <v>10500</v>
      </c>
      <c r="K222" s="77" t="s">
        <v>2228</v>
      </c>
      <c r="L222" s="264" t="s">
        <v>2228</v>
      </c>
      <c r="M222" s="77"/>
      <c r="N222" s="264"/>
      <c r="O222" s="78">
        <f t="shared" si="12"/>
        <v>54400</v>
      </c>
      <c r="P222" s="78">
        <f t="shared" si="13"/>
        <v>10500</v>
      </c>
      <c r="S222" s="18"/>
      <c r="T222" s="18"/>
      <c r="W222" s="53"/>
      <c r="X222" s="53"/>
    </row>
    <row r="223" spans="2:24" ht="42.75" customHeight="1" x14ac:dyDescent="0.2">
      <c r="B223" s="83" t="s">
        <v>1724</v>
      </c>
      <c r="C223" s="74">
        <v>83</v>
      </c>
      <c r="D223" s="553" t="str">
        <f>IFERROR(VLOOKUP(B223,Fontes!$A$9:$AC$6124,2,FALSE),0)</f>
        <v>Quadro de Força para elevador, composto por sistema de força trifásico com tensão nominal de 220V e frequência de 60Hz para elevador de 10,0cv, com chave seccionadora geral de 50A, conforme especificações do fabricante</v>
      </c>
      <c r="E223" s="554">
        <f>IFERROR(VLOOKUP(D223,Planilha!$B$10:$AC$943,4,FALSE),0)</f>
        <v>0</v>
      </c>
      <c r="F223" s="555">
        <f>IFERROR(VLOOKUP(E223,Planilha!$B$10:$AC$943,4,FALSE),0)</f>
        <v>0</v>
      </c>
      <c r="G223" s="75" t="str">
        <f>IFERROR(VLOOKUP(B223,Fontes!$A$9:$AC$6124,3,FALSE),0)</f>
        <v>cj</v>
      </c>
      <c r="H223" s="75">
        <v>1</v>
      </c>
      <c r="I223" s="77">
        <v>13600</v>
      </c>
      <c r="J223" s="264">
        <v>6750</v>
      </c>
      <c r="K223" s="77">
        <v>7425.0000000000009</v>
      </c>
      <c r="L223" s="264">
        <v>4000</v>
      </c>
      <c r="M223" s="77"/>
      <c r="N223" s="264"/>
      <c r="O223" s="78">
        <f t="shared" si="12"/>
        <v>7425.0000000000009</v>
      </c>
      <c r="P223" s="78">
        <f t="shared" si="13"/>
        <v>4000</v>
      </c>
      <c r="S223" s="18"/>
      <c r="T223" s="18"/>
      <c r="W223" s="53"/>
      <c r="X223" s="53"/>
    </row>
    <row r="224" spans="2:24" ht="39.75" customHeight="1" x14ac:dyDescent="0.2">
      <c r="B224" s="83" t="s">
        <v>1725</v>
      </c>
      <c r="C224" s="74">
        <v>84</v>
      </c>
      <c r="D224" s="506" t="str">
        <f>IFERROR(VLOOKUP(B224,Fontes!$A$9:$AC$6124,2,FALSE),0)</f>
        <v>Quadro de Força para elevador, composto por sistema de força trifásico com tensão nominal de 220V e frequência de 60Hz para elevador de 12,0cv, com chave seccionadora geral de 50A, conforme especificações do fabricante</v>
      </c>
      <c r="E224" s="507">
        <f>IFERROR(VLOOKUP(D224,Planilha!$B$10:$AC$943,4,FALSE),0)</f>
        <v>0</v>
      </c>
      <c r="F224" s="508">
        <f>IFERROR(VLOOKUP(E224,Planilha!$B$10:$AC$943,4,FALSE),0)</f>
        <v>0</v>
      </c>
      <c r="G224" s="75" t="str">
        <f>IFERROR(VLOOKUP(B224,Fontes!$A$9:$AC$6124,3,FALSE),0)</f>
        <v>cj</v>
      </c>
      <c r="H224" s="75">
        <v>1</v>
      </c>
      <c r="I224" s="77">
        <v>15300</v>
      </c>
      <c r="J224" s="264">
        <v>6750</v>
      </c>
      <c r="K224" s="77">
        <v>7425.0000000000009</v>
      </c>
      <c r="L224" s="264">
        <v>4000</v>
      </c>
      <c r="M224" s="77"/>
      <c r="N224" s="264"/>
      <c r="O224" s="78">
        <f t="shared" si="12"/>
        <v>7425.0000000000009</v>
      </c>
      <c r="P224" s="78">
        <f t="shared" si="13"/>
        <v>4000</v>
      </c>
      <c r="S224" s="18"/>
      <c r="T224" s="18"/>
      <c r="W224" s="53"/>
      <c r="X224" s="53"/>
    </row>
    <row r="225" spans="2:24" ht="46.5" customHeight="1" x14ac:dyDescent="0.2">
      <c r="B225" s="83" t="s">
        <v>1726</v>
      </c>
      <c r="C225" s="74">
        <v>85</v>
      </c>
      <c r="D225" s="506" t="str">
        <f>IFERROR(VLOOKUP(B225,Fontes!$A$9:$AC$6124,2,FALSE),0)</f>
        <v>Quadro de Força para bombas de incêndio, principal  + Jockey. Sistema de Sprinklers, partida estrela-triângulo eletromecânica e comunicação com
pressostatos. Principal 30 kW e Jockey 1,3 kW ( vide diagrama típico de comando )</v>
      </c>
      <c r="E225" s="507">
        <f>IFERROR(VLOOKUP(D225,Planilha!$B$10:$AC$943,4,FALSE),0)</f>
        <v>0</v>
      </c>
      <c r="F225" s="508">
        <f>IFERROR(VLOOKUP(E225,Planilha!$B$10:$AC$943,4,FALSE),0)</f>
        <v>0</v>
      </c>
      <c r="G225" s="75" t="str">
        <f>IFERROR(VLOOKUP(B225,Fontes!$A$9:$AC$6124,3,FALSE),0)</f>
        <v>cj</v>
      </c>
      <c r="H225" s="75">
        <v>1</v>
      </c>
      <c r="I225" s="77">
        <v>11900</v>
      </c>
      <c r="J225" s="264">
        <v>6750</v>
      </c>
      <c r="K225" s="77">
        <v>6480</v>
      </c>
      <c r="L225" s="264">
        <v>4000</v>
      </c>
      <c r="M225" s="77"/>
      <c r="N225" s="264"/>
      <c r="O225" s="78">
        <f t="shared" si="12"/>
        <v>6480</v>
      </c>
      <c r="P225" s="78">
        <f t="shared" si="13"/>
        <v>4000</v>
      </c>
      <c r="S225" s="18"/>
      <c r="T225" s="18"/>
      <c r="W225" s="53"/>
      <c r="X225" s="53"/>
    </row>
    <row r="226" spans="2:24" ht="53.25" customHeight="1" x14ac:dyDescent="0.2">
      <c r="B226" s="83" t="s">
        <v>1727</v>
      </c>
      <c r="C226" s="74">
        <v>86</v>
      </c>
      <c r="D226" s="506" t="str">
        <f>IFERROR(VLOOKUP(B226,Fontes!$A$9:$AC$6124,2,FALSE),0)</f>
        <v>Quadro de Força para bombas de recalque de água potável, composto por sistema de força trifásico com tensão nominal de 220V e frequência de 60Hz para 1 bomba de 1,5cv com disjuntor motor geral de 16A; sistema de supervisão de falta de fase e sistema de comando eletromecânico</v>
      </c>
      <c r="E226" s="507">
        <f>IFERROR(VLOOKUP(D226,Planilha!$B$10:$AC$943,4,FALSE),0)</f>
        <v>0</v>
      </c>
      <c r="F226" s="508">
        <f>IFERROR(VLOOKUP(E226,Planilha!$B$10:$AC$943,4,FALSE),0)</f>
        <v>0</v>
      </c>
      <c r="G226" s="75" t="str">
        <f>IFERROR(VLOOKUP(B226,Fontes!$A$9:$AC$6124,3,FALSE),0)</f>
        <v>cj</v>
      </c>
      <c r="H226" s="75">
        <v>1</v>
      </c>
      <c r="I226" s="77">
        <v>11900</v>
      </c>
      <c r="J226" s="264">
        <v>6750</v>
      </c>
      <c r="K226" s="77">
        <v>6480</v>
      </c>
      <c r="L226" s="264">
        <v>4000</v>
      </c>
      <c r="M226" s="77"/>
      <c r="N226" s="264"/>
      <c r="O226" s="78">
        <f t="shared" si="12"/>
        <v>6480</v>
      </c>
      <c r="P226" s="78">
        <f t="shared" si="13"/>
        <v>4000</v>
      </c>
      <c r="S226" s="18"/>
      <c r="T226" s="18"/>
      <c r="W226" s="53"/>
      <c r="X226" s="53"/>
    </row>
    <row r="227" spans="2:24" ht="55.5" customHeight="1" x14ac:dyDescent="0.2">
      <c r="B227" s="83" t="s">
        <v>1728</v>
      </c>
      <c r="C227" s="74">
        <v>5</v>
      </c>
      <c r="D227" s="506" t="str">
        <f>IFERROR(VLOOKUP(B227,Fontes!$A$9:$AC$6124,2,FALSE),0)</f>
        <v>Quadro de Força para bombas de recalque de água de reúso, composto por sistema de força trifásico com tensão nominal de 220V e frequência de 60Hz para 2 bombas de 3,0cv com disjuntor motor geral de 16A; sistema de supervisão de falta de fase e sistema de comando eletromecânico</v>
      </c>
      <c r="E227" s="507">
        <f>IFERROR(VLOOKUP(D227,Planilha!$B$10:$AC$943,4,FALSE),0)</f>
        <v>0</v>
      </c>
      <c r="F227" s="508">
        <f>IFERROR(VLOOKUP(E227,Planilha!$B$10:$AC$943,4,FALSE),0)</f>
        <v>0</v>
      </c>
      <c r="G227" s="75" t="str">
        <f>IFERROR(VLOOKUP(B227,Fontes!$A$9:$AC$6124,3,FALSE),0)</f>
        <v>cj</v>
      </c>
      <c r="H227" s="76">
        <v>1</v>
      </c>
      <c r="I227" s="77">
        <v>11900</v>
      </c>
      <c r="J227" s="264">
        <v>6750</v>
      </c>
      <c r="K227" s="77">
        <v>7830.0000000000009</v>
      </c>
      <c r="L227" s="264">
        <v>4000</v>
      </c>
      <c r="M227" s="77"/>
      <c r="N227" s="264"/>
      <c r="O227" s="78">
        <f t="shared" si="12"/>
        <v>7830.0000000000009</v>
      </c>
      <c r="P227" s="78">
        <f t="shared" si="13"/>
        <v>4000</v>
      </c>
      <c r="S227" s="18"/>
      <c r="T227" s="18"/>
      <c r="W227" s="53"/>
      <c r="X227" s="53"/>
    </row>
    <row r="228" spans="2:24" ht="49.5" customHeight="1" x14ac:dyDescent="0.2">
      <c r="B228" s="83" t="s">
        <v>1729</v>
      </c>
      <c r="C228" s="74">
        <v>6</v>
      </c>
      <c r="D228" s="506" t="str">
        <f>IFERROR(VLOOKUP(B228,Fontes!$A$9:$AC$6124,2,FALSE),0)</f>
        <v>Quadro de Força para pressurizador de rede potável/não potável composto por sistema de força trifásico com tensão nominal de 220V e frequência de 60Hz para 2 pressurizadores de 3,0cv com disjuntor motor geral de 16A  (este quadro geralmente é  fornecido com o conjunto moto bombas)</v>
      </c>
      <c r="E228" s="507">
        <f>IFERROR(VLOOKUP(D228,Planilha!$B$10:$AC$943,4,FALSE),0)</f>
        <v>0</v>
      </c>
      <c r="F228" s="508">
        <f>IFERROR(VLOOKUP(E228,Planilha!$B$10:$AC$943,4,FALSE),0)</f>
        <v>0</v>
      </c>
      <c r="G228" s="75" t="str">
        <f>IFERROR(VLOOKUP(B228,Fontes!$A$9:$AC$6124,3,FALSE),0)</f>
        <v>cj</v>
      </c>
      <c r="H228" s="75">
        <v>1</v>
      </c>
      <c r="I228" s="77">
        <v>11900</v>
      </c>
      <c r="J228" s="264">
        <v>6750</v>
      </c>
      <c r="K228" s="77">
        <v>6480</v>
      </c>
      <c r="L228" s="264">
        <v>4000</v>
      </c>
      <c r="M228" s="77"/>
      <c r="N228" s="264"/>
      <c r="O228" s="78">
        <f t="shared" si="12"/>
        <v>6480</v>
      </c>
      <c r="P228" s="78">
        <f t="shared" si="13"/>
        <v>4000</v>
      </c>
      <c r="S228" s="18"/>
      <c r="T228" s="18"/>
      <c r="W228" s="53"/>
      <c r="X228" s="53"/>
    </row>
    <row r="229" spans="2:24" ht="30" customHeight="1" x14ac:dyDescent="0.2">
      <c r="B229" s="83" t="s">
        <v>1730</v>
      </c>
      <c r="C229" s="74">
        <v>7</v>
      </c>
      <c r="D229" s="506" t="str">
        <f>IFERROR(VLOOKUP(B229,Fontes!$A$9:$AC$6124,2,FALSE),0)</f>
        <v>QLT.1PAV, Fornecimento, comissionamento e instalação, conforme diagrama</v>
      </c>
      <c r="E229" s="507">
        <f>IFERROR(VLOOKUP(D229,Planilha!$B$10:$AC$943,4,FALSE),0)</f>
        <v>0</v>
      </c>
      <c r="F229" s="508">
        <f>IFERROR(VLOOKUP(E229,Planilha!$B$10:$AC$943,4,FALSE),0)</f>
        <v>0</v>
      </c>
      <c r="G229" s="75" t="str">
        <f>IFERROR(VLOOKUP(B229,Fontes!$A$9:$AC$6124,3,FALSE),0)</f>
        <v>cj</v>
      </c>
      <c r="H229" s="75">
        <v>1</v>
      </c>
      <c r="I229" s="77">
        <v>13600</v>
      </c>
      <c r="J229" s="264">
        <v>12000</v>
      </c>
      <c r="K229" s="77">
        <v>26865</v>
      </c>
      <c r="L229" s="264">
        <v>7000</v>
      </c>
      <c r="M229" s="77"/>
      <c r="N229" s="264"/>
      <c r="O229" s="78">
        <f t="shared" si="12"/>
        <v>13600</v>
      </c>
      <c r="P229" s="78">
        <f t="shared" si="13"/>
        <v>7000</v>
      </c>
      <c r="S229" s="18"/>
      <c r="T229" s="18"/>
      <c r="W229" s="53"/>
      <c r="X229" s="53"/>
    </row>
    <row r="230" spans="2:24" ht="30" customHeight="1" x14ac:dyDescent="0.2">
      <c r="B230" s="83" t="s">
        <v>1731</v>
      </c>
      <c r="C230" s="74">
        <v>8</v>
      </c>
      <c r="D230" s="506" t="str">
        <f>IFERROR(VLOOKUP(B230,Fontes!$A$9:$AC$6124,2,FALSE),0)</f>
        <v>QLT.2PAV, Fornecimento, comissionamento e instalação, conforme diagrama</v>
      </c>
      <c r="E230" s="507">
        <f>IFERROR(VLOOKUP(D230,Planilha!$B$10:$AC$943,4,FALSE),0)</f>
        <v>0</v>
      </c>
      <c r="F230" s="508">
        <f>IFERROR(VLOOKUP(E230,Planilha!$B$10:$AC$943,4,FALSE),0)</f>
        <v>0</v>
      </c>
      <c r="G230" s="75" t="str">
        <f>IFERROR(VLOOKUP(B230,Fontes!$A$9:$AC$6124,3,FALSE),0)</f>
        <v>cj</v>
      </c>
      <c r="H230" s="75">
        <v>1</v>
      </c>
      <c r="I230" s="77">
        <v>13600</v>
      </c>
      <c r="J230" s="264">
        <v>12000</v>
      </c>
      <c r="K230" s="77">
        <v>26865</v>
      </c>
      <c r="L230" s="264">
        <v>7000</v>
      </c>
      <c r="M230" s="77"/>
      <c r="N230" s="264"/>
      <c r="O230" s="78">
        <f t="shared" si="12"/>
        <v>13600</v>
      </c>
      <c r="P230" s="78">
        <f t="shared" si="13"/>
        <v>7000</v>
      </c>
      <c r="S230" s="18"/>
      <c r="T230" s="18"/>
      <c r="W230" s="53"/>
      <c r="X230" s="53"/>
    </row>
    <row r="231" spans="2:24" ht="30" customHeight="1" x14ac:dyDescent="0.2">
      <c r="B231" s="83" t="s">
        <v>1732</v>
      </c>
      <c r="C231" s="74">
        <v>9</v>
      </c>
      <c r="D231" s="506" t="str">
        <f>IFERROR(VLOOKUP(B231,Fontes!$A$9:$AC$6124,2,FALSE),0)</f>
        <v>QLT.TER, Fornecimento, comissionamento e instalação,  conforme diagrama</v>
      </c>
      <c r="E231" s="507">
        <f>IFERROR(VLOOKUP(D231,Planilha!$B$10:$AC$943,4,FALSE),0)</f>
        <v>0</v>
      </c>
      <c r="F231" s="508">
        <f>IFERROR(VLOOKUP(E231,Planilha!$B$10:$AC$943,4,FALSE),0)</f>
        <v>0</v>
      </c>
      <c r="G231" s="75" t="str">
        <f>IFERROR(VLOOKUP(B231,Fontes!$A$9:$AC$6124,3,FALSE),0)</f>
        <v>cj</v>
      </c>
      <c r="H231" s="75">
        <v>1</v>
      </c>
      <c r="I231" s="77">
        <v>13600</v>
      </c>
      <c r="J231" s="264">
        <v>12000</v>
      </c>
      <c r="K231" s="77">
        <v>3915.0000000000005</v>
      </c>
      <c r="L231" s="264">
        <v>1200</v>
      </c>
      <c r="M231" s="77"/>
      <c r="N231" s="264"/>
      <c r="O231" s="78">
        <f t="shared" si="12"/>
        <v>3915.0000000000005</v>
      </c>
      <c r="P231" s="78">
        <f t="shared" si="13"/>
        <v>1200</v>
      </c>
      <c r="S231" s="18"/>
      <c r="T231" s="18"/>
      <c r="W231" s="53"/>
      <c r="X231" s="53"/>
    </row>
    <row r="232" spans="2:24" ht="30" customHeight="1" x14ac:dyDescent="0.2">
      <c r="B232" s="83" t="s">
        <v>1733</v>
      </c>
      <c r="C232" s="74">
        <v>10</v>
      </c>
      <c r="D232" s="506" t="str">
        <f>IFERROR(VLOOKUP(B232,Fontes!$A$9:$AC$6124,2,FALSE),0)</f>
        <v>QLT.INF, Fornecimento, comissionamento e instalação,  conforme diagrama</v>
      </c>
      <c r="E232" s="507">
        <f>IFERROR(VLOOKUP(D232,Planilha!$B$10:$AC$943,4,FALSE),0)</f>
        <v>0</v>
      </c>
      <c r="F232" s="508">
        <f>IFERROR(VLOOKUP(E232,Planilha!$B$10:$AC$943,4,FALSE),0)</f>
        <v>0</v>
      </c>
      <c r="G232" s="75" t="str">
        <f>IFERROR(VLOOKUP(B232,Fontes!$A$9:$AC$6124,3,FALSE),0)</f>
        <v>cj</v>
      </c>
      <c r="H232" s="75">
        <v>1</v>
      </c>
      <c r="I232" s="77">
        <v>13600</v>
      </c>
      <c r="J232" s="264">
        <v>12000</v>
      </c>
      <c r="K232" s="77">
        <v>3915.0000000000005</v>
      </c>
      <c r="L232" s="264">
        <v>1200</v>
      </c>
      <c r="M232" s="77"/>
      <c r="N232" s="264"/>
      <c r="O232" s="78">
        <f t="shared" si="12"/>
        <v>3915.0000000000005</v>
      </c>
      <c r="P232" s="78">
        <f t="shared" si="13"/>
        <v>1200</v>
      </c>
      <c r="S232" s="18"/>
      <c r="T232" s="18"/>
      <c r="W232" s="53"/>
      <c r="X232" s="53"/>
    </row>
    <row r="233" spans="2:24" ht="30" customHeight="1" x14ac:dyDescent="0.2">
      <c r="B233" s="83" t="s">
        <v>1734</v>
      </c>
      <c r="C233" s="74">
        <v>11</v>
      </c>
      <c r="D233" s="506" t="str">
        <f>IFERROR(VLOOKUP(B233,Fontes!$A$9:$AC$6124,2,FALSE),0)</f>
        <v>QF.AR.COND.TER, Fornecimento, comissionamento e instalação,  conforme diagrama</v>
      </c>
      <c r="E233" s="507">
        <f>IFERROR(VLOOKUP(D233,Planilha!$B$10:$AC$943,4,FALSE),0)</f>
        <v>0</v>
      </c>
      <c r="F233" s="508">
        <f>IFERROR(VLOOKUP(E233,Planilha!$B$10:$AC$943,4,FALSE),0)</f>
        <v>0</v>
      </c>
      <c r="G233" s="75" t="str">
        <f>IFERROR(VLOOKUP(B233,Fontes!$A$9:$AC$6124,3,FALSE),0)</f>
        <v>cj</v>
      </c>
      <c r="H233" s="75">
        <v>1</v>
      </c>
      <c r="I233" s="77">
        <v>13600</v>
      </c>
      <c r="J233" s="264">
        <v>7500</v>
      </c>
      <c r="K233" s="77">
        <v>3915.0000000000005</v>
      </c>
      <c r="L233" s="264">
        <v>1200</v>
      </c>
      <c r="M233" s="77"/>
      <c r="N233" s="264"/>
      <c r="O233" s="78">
        <f t="shared" si="12"/>
        <v>3915.0000000000005</v>
      </c>
      <c r="P233" s="78">
        <f t="shared" si="13"/>
        <v>1200</v>
      </c>
      <c r="S233" s="18"/>
      <c r="T233" s="18"/>
      <c r="W233" s="53"/>
      <c r="X233" s="53"/>
    </row>
    <row r="234" spans="2:24" ht="30" customHeight="1" x14ac:dyDescent="0.2">
      <c r="B234" s="83" t="s">
        <v>1735</v>
      </c>
      <c r="C234" s="74">
        <v>12</v>
      </c>
      <c r="D234" s="506" t="str">
        <f>IFERROR(VLOOKUP(B234,Fontes!$A$9:$AC$6124,2,FALSE),0)</f>
        <v>QF.AR.COND.1PAV, Fornecimento, comissionamento e instalação,  conforme diagrama</v>
      </c>
      <c r="E234" s="507">
        <f>IFERROR(VLOOKUP(D234,Planilha!$B$10:$AC$943,4,FALSE),0)</f>
        <v>0</v>
      </c>
      <c r="F234" s="508">
        <f>IFERROR(VLOOKUP(E234,Planilha!$B$10:$AC$943,4,FALSE),0)</f>
        <v>0</v>
      </c>
      <c r="G234" s="75" t="str">
        <f>IFERROR(VLOOKUP(B234,Fontes!$A$9:$AC$6124,3,FALSE),0)</f>
        <v>cj</v>
      </c>
      <c r="H234" s="75">
        <v>1</v>
      </c>
      <c r="I234" s="77">
        <v>8500</v>
      </c>
      <c r="J234" s="264">
        <v>7500</v>
      </c>
      <c r="K234" s="77">
        <v>3915.0000000000005</v>
      </c>
      <c r="L234" s="264">
        <v>1200</v>
      </c>
      <c r="M234" s="77"/>
      <c r="N234" s="264"/>
      <c r="O234" s="78">
        <f t="shared" si="12"/>
        <v>3915.0000000000005</v>
      </c>
      <c r="P234" s="78">
        <f t="shared" si="13"/>
        <v>1200</v>
      </c>
      <c r="S234" s="18"/>
      <c r="T234" s="18"/>
      <c r="W234" s="53"/>
      <c r="X234" s="53"/>
    </row>
    <row r="235" spans="2:24" ht="30" customHeight="1" x14ac:dyDescent="0.2">
      <c r="B235" s="83" t="s">
        <v>1736</v>
      </c>
      <c r="C235" s="74">
        <v>13</v>
      </c>
      <c r="D235" s="506" t="str">
        <f>IFERROR(VLOOKUP(B235,Fontes!$A$9:$AC$6124,2,FALSE),0)</f>
        <v>QF.AR.COND.2PAV, Fornecimento, comissionamento e instalação,  conforme diagrama</v>
      </c>
      <c r="E235" s="507">
        <f>IFERROR(VLOOKUP(D235,Planilha!$B$10:$AC$943,4,FALSE),0)</f>
        <v>0</v>
      </c>
      <c r="F235" s="508">
        <f>IFERROR(VLOOKUP(E235,Planilha!$B$10:$AC$943,4,FALSE),0)</f>
        <v>0</v>
      </c>
      <c r="G235" s="75" t="str">
        <f>IFERROR(VLOOKUP(B235,Fontes!$A$9:$AC$6124,3,FALSE),0)</f>
        <v>cj</v>
      </c>
      <c r="H235" s="75">
        <v>1</v>
      </c>
      <c r="I235" s="77">
        <v>8500</v>
      </c>
      <c r="J235" s="264">
        <v>7500</v>
      </c>
      <c r="K235" s="77">
        <v>3915.0000000000005</v>
      </c>
      <c r="L235" s="264">
        <v>1200</v>
      </c>
      <c r="M235" s="77"/>
      <c r="N235" s="264"/>
      <c r="O235" s="78">
        <f t="shared" si="12"/>
        <v>3915.0000000000005</v>
      </c>
      <c r="P235" s="78">
        <f t="shared" si="13"/>
        <v>1200</v>
      </c>
      <c r="S235" s="18"/>
      <c r="T235" s="18"/>
      <c r="W235" s="53"/>
      <c r="X235" s="53"/>
    </row>
    <row r="236" spans="2:24" ht="30" customHeight="1" x14ac:dyDescent="0.2">
      <c r="B236" s="83" t="s">
        <v>1737</v>
      </c>
      <c r="C236" s="74">
        <v>14</v>
      </c>
      <c r="D236" s="506" t="str">
        <f>IFERROR(VLOOKUP(B236,Fontes!$A$9:$AC$6124,2,FALSE),0)</f>
        <v>QF-AAER (Previsão de cargas para equipamento específico, deverá ser elaborado diagrama conforme as necessidades do equipamento)</v>
      </c>
      <c r="E236" s="507">
        <f>IFERROR(VLOOKUP(D236,Planilha!$B$10:$AC$943,4,FALSE),0)</f>
        <v>0</v>
      </c>
      <c r="F236" s="508">
        <f>IFERROR(VLOOKUP(E236,Planilha!$B$10:$AC$943,4,FALSE),0)</f>
        <v>0</v>
      </c>
      <c r="G236" s="75" t="str">
        <f>IFERROR(VLOOKUP(B236,Fontes!$A$9:$AC$6124,3,FALSE),0)</f>
        <v>cj</v>
      </c>
      <c r="H236" s="75">
        <v>1</v>
      </c>
      <c r="I236" s="77">
        <v>8500</v>
      </c>
      <c r="J236" s="264">
        <v>7500</v>
      </c>
      <c r="K236" s="77" t="s">
        <v>2228</v>
      </c>
      <c r="L236" s="264" t="s">
        <v>2228</v>
      </c>
      <c r="M236" s="77"/>
      <c r="N236" s="264"/>
      <c r="O236" s="78">
        <f t="shared" si="12"/>
        <v>8500</v>
      </c>
      <c r="P236" s="78">
        <f t="shared" si="13"/>
        <v>7500</v>
      </c>
      <c r="S236" s="18"/>
      <c r="T236" s="18"/>
      <c r="W236" s="53"/>
      <c r="X236" s="53"/>
    </row>
    <row r="237" spans="2:24" ht="30" customHeight="1" x14ac:dyDescent="0.2">
      <c r="B237" s="83" t="s">
        <v>1738</v>
      </c>
      <c r="C237" s="74">
        <v>15</v>
      </c>
      <c r="D237" s="506" t="str">
        <f>IFERROR(VLOOKUP(B237,Fontes!$A$9:$AC$6124,2,FALSE),0)</f>
        <v>QF-ICPMS (Previsão de cargas para equipamento específico, deverá ser elaborado diagrama conforme as necessidades do equipamento)</v>
      </c>
      <c r="E237" s="507">
        <f>IFERROR(VLOOKUP(D237,Planilha!$B$10:$AC$943,4,FALSE),0)</f>
        <v>0</v>
      </c>
      <c r="F237" s="508">
        <f>IFERROR(VLOOKUP(E237,Planilha!$B$10:$AC$943,4,FALSE),0)</f>
        <v>0</v>
      </c>
      <c r="G237" s="75" t="str">
        <f>IFERROR(VLOOKUP(B237,Fontes!$A$9:$AC$6124,3,FALSE),0)</f>
        <v>cj</v>
      </c>
      <c r="H237" s="75">
        <v>1</v>
      </c>
      <c r="I237" s="77">
        <v>13600</v>
      </c>
      <c r="J237" s="264">
        <v>7500</v>
      </c>
      <c r="K237" s="77" t="s">
        <v>2228</v>
      </c>
      <c r="L237" s="264" t="s">
        <v>2228</v>
      </c>
      <c r="M237" s="77"/>
      <c r="N237" s="264"/>
      <c r="O237" s="78">
        <f t="shared" si="12"/>
        <v>13600</v>
      </c>
      <c r="P237" s="78">
        <f t="shared" si="13"/>
        <v>7500</v>
      </c>
      <c r="S237" s="18"/>
      <c r="T237" s="18"/>
      <c r="W237" s="53"/>
      <c r="X237" s="53"/>
    </row>
    <row r="238" spans="2:24" ht="30" customHeight="1" x14ac:dyDescent="0.2">
      <c r="B238" s="83" t="s">
        <v>1739</v>
      </c>
      <c r="C238" s="74">
        <v>16</v>
      </c>
      <c r="D238" s="506" t="str">
        <f>IFERROR(VLOOKUP(B238,Fontes!$A$9:$AC$6124,2,FALSE),0)</f>
        <v>QF-TOM (Previsão de cargas para equipamento específico, deverá ser elaborado diagrama conforme as necessidades do equipamento)</v>
      </c>
      <c r="E238" s="507">
        <f>IFERROR(VLOOKUP(D238,Planilha!$B$10:$AC$943,4,FALSE),0)</f>
        <v>0</v>
      </c>
      <c r="F238" s="508">
        <f>IFERROR(VLOOKUP(E238,Planilha!$B$10:$AC$943,4,FALSE),0)</f>
        <v>0</v>
      </c>
      <c r="G238" s="75" t="str">
        <f>IFERROR(VLOOKUP(B238,Fontes!$A$9:$AC$6124,3,FALSE),0)</f>
        <v>cj</v>
      </c>
      <c r="H238" s="75">
        <v>1</v>
      </c>
      <c r="I238" s="77">
        <v>13600</v>
      </c>
      <c r="J238" s="264">
        <v>7500</v>
      </c>
      <c r="K238" s="77" t="s">
        <v>2228</v>
      </c>
      <c r="L238" s="264" t="s">
        <v>2228</v>
      </c>
      <c r="M238" s="77"/>
      <c r="N238" s="264"/>
      <c r="O238" s="78">
        <f t="shared" si="12"/>
        <v>13600</v>
      </c>
      <c r="P238" s="78">
        <f t="shared" si="13"/>
        <v>7500</v>
      </c>
      <c r="S238" s="18"/>
      <c r="T238" s="18"/>
      <c r="W238" s="53"/>
      <c r="X238" s="53"/>
    </row>
    <row r="239" spans="2:24" ht="30" customHeight="1" x14ac:dyDescent="0.2">
      <c r="B239" s="83" t="s">
        <v>1740</v>
      </c>
      <c r="C239" s="74">
        <v>17</v>
      </c>
      <c r="D239" s="506" t="str">
        <f>IFERROR(VLOOKUP(B239,Fontes!$A$9:$AC$6124,2,FALSE),0)</f>
        <v>QF-MEV (Previsão de cargas para equipamento específico, deverá ser elaborado diagrama conforme as necessidades do equipamento)</v>
      </c>
      <c r="E239" s="507">
        <f>IFERROR(VLOOKUP(D239,Planilha!$B$10:$AC$943,4,FALSE),0)</f>
        <v>0</v>
      </c>
      <c r="F239" s="508">
        <f>IFERROR(VLOOKUP(E239,Planilha!$B$10:$AC$943,4,FALSE),0)</f>
        <v>0</v>
      </c>
      <c r="G239" s="75" t="str">
        <f>IFERROR(VLOOKUP(B239,Fontes!$A$9:$AC$6124,3,FALSE),0)</f>
        <v>cj</v>
      </c>
      <c r="H239" s="75">
        <v>1</v>
      </c>
      <c r="I239" s="77">
        <v>13600</v>
      </c>
      <c r="J239" s="264">
        <v>7500</v>
      </c>
      <c r="K239" s="77" t="s">
        <v>2228</v>
      </c>
      <c r="L239" s="264" t="s">
        <v>2228</v>
      </c>
      <c r="M239" s="77"/>
      <c r="N239" s="264"/>
      <c r="O239" s="78">
        <f t="shared" si="12"/>
        <v>13600</v>
      </c>
      <c r="P239" s="78">
        <f t="shared" si="13"/>
        <v>7500</v>
      </c>
      <c r="S239" s="18"/>
      <c r="T239" s="18"/>
      <c r="W239" s="53"/>
      <c r="X239" s="53"/>
    </row>
    <row r="240" spans="2:24" ht="30" customHeight="1" x14ac:dyDescent="0.2">
      <c r="B240" s="83" t="s">
        <v>1741</v>
      </c>
      <c r="C240" s="74">
        <v>18</v>
      </c>
      <c r="D240" s="506" t="str">
        <f>IFERROR(VLOOKUP(B240,Fontes!$A$9:$AC$6124,2,FALSE),0)</f>
        <v>QF-EPMA (Previsão de cargas para equipamento específico, deverá ser elaborado diagrama conforme as necessidades do equipamento)</v>
      </c>
      <c r="E240" s="507">
        <f>IFERROR(VLOOKUP(D240,Planilha!$B$10:$AC$943,4,FALSE),0)</f>
        <v>0</v>
      </c>
      <c r="F240" s="508">
        <f>IFERROR(VLOOKUP(E240,Planilha!$B$10:$AC$943,4,FALSE),0)</f>
        <v>0</v>
      </c>
      <c r="G240" s="75" t="str">
        <f>IFERROR(VLOOKUP(B240,Fontes!$A$9:$AC$6124,3,FALSE),0)</f>
        <v>cj</v>
      </c>
      <c r="H240" s="75">
        <v>1</v>
      </c>
      <c r="I240" s="77">
        <v>13600</v>
      </c>
      <c r="J240" s="264">
        <v>7500</v>
      </c>
      <c r="K240" s="77" t="s">
        <v>2228</v>
      </c>
      <c r="L240" s="264" t="s">
        <v>2228</v>
      </c>
      <c r="M240" s="77"/>
      <c r="N240" s="264"/>
      <c r="O240" s="78">
        <f t="shared" si="12"/>
        <v>13600</v>
      </c>
      <c r="P240" s="78">
        <f t="shared" si="13"/>
        <v>7500</v>
      </c>
      <c r="S240" s="18"/>
      <c r="T240" s="18"/>
      <c r="W240" s="53"/>
      <c r="X240" s="53"/>
    </row>
    <row r="241" spans="2:24" ht="30" customHeight="1" x14ac:dyDescent="0.2">
      <c r="B241" s="83" t="s">
        <v>1742</v>
      </c>
      <c r="C241" s="74">
        <v>19</v>
      </c>
      <c r="D241" s="506" t="str">
        <f>IFERROR(VLOOKUP(B241,Fontes!$A$9:$AC$6124,2,FALSE),0)</f>
        <v>QF-SIMS (Previsão de cargas para equipamento específico, deverá ser elaborado diagrama conforme as necessidades do equipamento)</v>
      </c>
      <c r="E241" s="507">
        <f>IFERROR(VLOOKUP(D241,Planilha!$B$10:$AC$943,4,FALSE),0)</f>
        <v>0</v>
      </c>
      <c r="F241" s="508">
        <f>IFERROR(VLOOKUP(E241,Planilha!$B$10:$AC$943,4,FALSE),0)</f>
        <v>0</v>
      </c>
      <c r="G241" s="75" t="str">
        <f>IFERROR(VLOOKUP(B241,Fontes!$A$9:$AC$6124,3,FALSE),0)</f>
        <v>cj</v>
      </c>
      <c r="H241" s="75">
        <v>1</v>
      </c>
      <c r="I241" s="77">
        <v>13600</v>
      </c>
      <c r="J241" s="264">
        <v>7500</v>
      </c>
      <c r="K241" s="77" t="s">
        <v>2228</v>
      </c>
      <c r="L241" s="264" t="s">
        <v>2228</v>
      </c>
      <c r="M241" s="77"/>
      <c r="N241" s="264"/>
      <c r="O241" s="78">
        <f t="shared" si="12"/>
        <v>13600</v>
      </c>
      <c r="P241" s="78">
        <f t="shared" si="13"/>
        <v>7500</v>
      </c>
      <c r="S241" s="18"/>
      <c r="T241" s="18"/>
      <c r="W241" s="53"/>
      <c r="X241" s="53"/>
    </row>
    <row r="242" spans="2:24" ht="30" customHeight="1" x14ac:dyDescent="0.2">
      <c r="B242" s="83" t="s">
        <v>1743</v>
      </c>
      <c r="C242" s="74">
        <v>20</v>
      </c>
      <c r="D242" s="506" t="str">
        <f>IFERROR(VLOOKUP(B242,Fontes!$A$9:$AC$6124,2,FALSE),0)</f>
        <v>QDF.AR.COND., Fornecimento, comissionamento e instalação,  conforme diagrama</v>
      </c>
      <c r="E242" s="507">
        <f>IFERROR(VLOOKUP(D242,Planilha!$B$10:$AC$943,4,FALSE),0)</f>
        <v>0</v>
      </c>
      <c r="F242" s="508">
        <f>IFERROR(VLOOKUP(E242,Planilha!$B$10:$AC$943,4,FALSE),0)</f>
        <v>0</v>
      </c>
      <c r="G242" s="75" t="str">
        <f>IFERROR(VLOOKUP(B242,Fontes!$A$9:$AC$6124,3,FALSE),0)</f>
        <v>cj</v>
      </c>
      <c r="H242" s="75">
        <v>1</v>
      </c>
      <c r="I242" s="77">
        <v>8500</v>
      </c>
      <c r="J242" s="264">
        <v>7500</v>
      </c>
      <c r="K242" s="77">
        <v>3915.0000000000005</v>
      </c>
      <c r="L242" s="264">
        <v>1200</v>
      </c>
      <c r="M242" s="77"/>
      <c r="N242" s="264"/>
      <c r="O242" s="78">
        <f t="shared" si="12"/>
        <v>3915.0000000000005</v>
      </c>
      <c r="P242" s="78">
        <f t="shared" si="13"/>
        <v>1200</v>
      </c>
      <c r="S242" s="18"/>
      <c r="T242" s="18"/>
      <c r="W242" s="53"/>
      <c r="X242" s="53"/>
    </row>
    <row r="243" spans="2:24" ht="30" customHeight="1" x14ac:dyDescent="0.2">
      <c r="B243" s="83" t="s">
        <v>1744</v>
      </c>
      <c r="C243" s="74">
        <v>21</v>
      </c>
      <c r="D243" s="506" t="str">
        <f>IFERROR(VLOOKUP(B243,Fontes!$A$9:$AC$6124,2,FALSE),0)</f>
        <v>Chave-boia elétrica de regulagem de nível de água em reservatórios para acionamento de bombas elétricas - fornecimento e instalação</v>
      </c>
      <c r="E243" s="507">
        <f>IFERROR(VLOOKUP(D243,Planilha!$B$10:$AC$943,4,FALSE),0)</f>
        <v>0</v>
      </c>
      <c r="F243" s="508">
        <f>IFERROR(VLOOKUP(E243,Planilha!$B$10:$AC$943,4,FALSE),0)</f>
        <v>0</v>
      </c>
      <c r="G243" s="75" t="str">
        <f>IFERROR(VLOOKUP(B243,Fontes!$A$9:$AC$6124,3,FALSE),0)</f>
        <v>un</v>
      </c>
      <c r="H243" s="75">
        <v>1</v>
      </c>
      <c r="I243" s="77">
        <v>340</v>
      </c>
      <c r="J243" s="264">
        <v>600</v>
      </c>
      <c r="K243" s="77">
        <v>256.5</v>
      </c>
      <c r="L243" s="264">
        <v>259.07469365633477</v>
      </c>
      <c r="M243" s="77"/>
      <c r="N243" s="264"/>
      <c r="O243" s="78">
        <f t="shared" si="12"/>
        <v>256.5</v>
      </c>
      <c r="P243" s="78">
        <f t="shared" si="13"/>
        <v>259.07469365633477</v>
      </c>
      <c r="S243" s="18"/>
      <c r="T243" s="18"/>
      <c r="W243" s="53"/>
      <c r="X243" s="53"/>
    </row>
    <row r="244" spans="2:24" ht="75" customHeight="1" x14ac:dyDescent="0.2">
      <c r="B244" s="83" t="s">
        <v>1745</v>
      </c>
      <c r="C244" s="74">
        <v>22</v>
      </c>
      <c r="D244" s="506" t="str">
        <f>IFERROR(VLOOKUP(B244,Fontes!$A$9:$AC$6124,2,FALSE),0)</f>
        <v>Módulo de entrada de energia em média tensão tipo cubículo compacto, grau de proteção IP 44, composto por 03 muflas unipolares classe 15 kV, pára-raios de média tensão classe 15 kV,jogo de barras tripolar de 630 A, chave seccionadora de 3 posições 630A - 15KV - NBI 95kV, funcionamento sob carga, com contatos selados a gás SF6, indicadores de presença de tensão, resistência de aquecimento de 50W, conforme diagrama de projeto - Referência DM1-A SM6-24kV schneider electric</v>
      </c>
      <c r="E244" s="507">
        <f>IFERROR(VLOOKUP(D244,Planilha!$B$10:$AC$943,4,FALSE),0)</f>
        <v>0</v>
      </c>
      <c r="F244" s="508">
        <f>IFERROR(VLOOKUP(E244,Planilha!$B$10:$AC$943,4,FALSE),0)</f>
        <v>0</v>
      </c>
      <c r="G244" s="75" t="str">
        <f>IFERROR(VLOOKUP(B244,Fontes!$A$9:$AC$6124,3,FALSE),0)</f>
        <v>cj</v>
      </c>
      <c r="H244" s="75">
        <v>1</v>
      </c>
      <c r="I244" s="77">
        <v>221000</v>
      </c>
      <c r="J244" s="264">
        <v>124800</v>
      </c>
      <c r="K244" s="77">
        <v>56700.000000000007</v>
      </c>
      <c r="L244" s="264">
        <v>6000</v>
      </c>
      <c r="M244" s="77"/>
      <c r="N244" s="264"/>
      <c r="O244" s="78">
        <f t="shared" si="12"/>
        <v>56700.000000000007</v>
      </c>
      <c r="P244" s="78">
        <f t="shared" si="13"/>
        <v>6000</v>
      </c>
      <c r="S244" s="18"/>
      <c r="T244" s="18"/>
      <c r="W244" s="53"/>
      <c r="X244" s="53"/>
    </row>
    <row r="245" spans="2:24" ht="102" customHeight="1" x14ac:dyDescent="0.2">
      <c r="B245" s="83" t="s">
        <v>1746</v>
      </c>
      <c r="C245" s="74">
        <v>23</v>
      </c>
      <c r="D245" s="506" t="str">
        <f>IFERROR(VLOOKUP(B245,Fontes!$A$9:$AC$6124,2,FALSE),0)</f>
        <v>Módulo de saída de energia em média tensão tipo cubículo compacto, grau de proteção IP 44, composto por 03 muflas unipolares classe 15 kV, chave  seccionadora de 3 posições  630A -  15KV -  NBI  95kV,  funcionamento  sob carga,  com  contatos  selados  a gás  SF6,  e  chave de terra com intertravamentos de segurança, indicadores de presença de tensão,  equipamento para três fusíveis DIN com sistema “striker pin”, mecanismo de sinalização de queima de fusível, resistência de aquecimento de 50W, conforme diagrama de projeto - Referência QM SM6-24kV schneider electric</v>
      </c>
      <c r="E245" s="507">
        <f>IFERROR(VLOOKUP(D245,Planilha!$B$10:$AC$943,4,FALSE),0)</f>
        <v>0</v>
      </c>
      <c r="F245" s="508">
        <f>IFERROR(VLOOKUP(E245,Planilha!$B$10:$AC$943,4,FALSE),0)</f>
        <v>0</v>
      </c>
      <c r="G245" s="75" t="str">
        <f>IFERROR(VLOOKUP(B245,Fontes!$A$9:$AC$6124,3,FALSE),0)</f>
        <v>cj</v>
      </c>
      <c r="H245" s="75">
        <v>1</v>
      </c>
      <c r="I245" s="77">
        <v>136000</v>
      </c>
      <c r="J245" s="264">
        <v>67500</v>
      </c>
      <c r="K245" s="77">
        <v>105300</v>
      </c>
      <c r="L245" s="264">
        <v>6000</v>
      </c>
      <c r="M245" s="77"/>
      <c r="N245" s="264"/>
      <c r="O245" s="78">
        <f t="shared" si="12"/>
        <v>105300</v>
      </c>
      <c r="P245" s="78">
        <f t="shared" si="13"/>
        <v>6000</v>
      </c>
      <c r="S245" s="18"/>
      <c r="T245" s="18"/>
      <c r="W245" s="53"/>
      <c r="X245" s="53"/>
    </row>
    <row r="246" spans="2:24" ht="30" customHeight="1" x14ac:dyDescent="0.2">
      <c r="B246" s="83" t="s">
        <v>1747</v>
      </c>
      <c r="C246" s="74">
        <v>24</v>
      </c>
      <c r="D246" s="506" t="str">
        <f>IFERROR(VLOOKUP(B246,Fontes!$A$9:$AC$6124,2,FALSE),0)</f>
        <v>Cofre "plug-in" para instalação em barramento blindado, equipado com disjuntor tipo caixa moldada de 2500A</v>
      </c>
      <c r="E246" s="507">
        <f>IFERROR(VLOOKUP(D246,Planilha!$B$10:$AC$943,4,FALSE),0)</f>
        <v>0</v>
      </c>
      <c r="F246" s="508">
        <f>IFERROR(VLOOKUP(E246,Planilha!$B$10:$AC$943,4,FALSE),0)</f>
        <v>0</v>
      </c>
      <c r="G246" s="75" t="str">
        <f>IFERROR(VLOOKUP(B246,Fontes!$A$9:$AC$6124,3,FALSE),0)</f>
        <v>un</v>
      </c>
      <c r="H246" s="75">
        <v>1</v>
      </c>
      <c r="I246" s="77">
        <v>54400</v>
      </c>
      <c r="J246" s="264">
        <v>18000</v>
      </c>
      <c r="K246" s="77">
        <v>5130</v>
      </c>
      <c r="L246" s="264">
        <v>5181.4938731266957</v>
      </c>
      <c r="M246" s="77"/>
      <c r="N246" s="264"/>
      <c r="O246" s="78">
        <f t="shared" si="12"/>
        <v>5130</v>
      </c>
      <c r="P246" s="78">
        <f t="shared" si="13"/>
        <v>5181.4938731266957</v>
      </c>
      <c r="S246" s="18"/>
      <c r="T246" s="18"/>
      <c r="W246" s="53"/>
      <c r="X246" s="53"/>
    </row>
    <row r="247" spans="2:24" ht="42.75" customHeight="1" x14ac:dyDescent="0.2">
      <c r="B247" s="83" t="s">
        <v>1748</v>
      </c>
      <c r="C247" s="74">
        <v>25</v>
      </c>
      <c r="D247" s="506" t="str">
        <f>IFERROR(VLOOKUP(B247,Fontes!$A$9:$AC$6124,2,FALSE),0)</f>
        <v>Barramento blindado tipo "bus-way", condutores em alumínio, corrente nominal (ith) 2500A, corrente de curto circuito (lcc) 75kA, grau de proteção IP 31, condutores (NFFF). Obs.: neutro com seção igual a fase, inclusive acessórios e fixações</v>
      </c>
      <c r="E247" s="507">
        <f>IFERROR(VLOOKUP(D247,Planilha!$B$10:$AC$943,4,FALSE),0)</f>
        <v>0</v>
      </c>
      <c r="F247" s="508">
        <f>IFERROR(VLOOKUP(E247,Planilha!$B$10:$AC$943,4,FALSE),0)</f>
        <v>0</v>
      </c>
      <c r="G247" s="75" t="str">
        <f>IFERROR(VLOOKUP(B247,Fontes!$A$9:$AC$6124,3,FALSE),0)</f>
        <v>m</v>
      </c>
      <c r="H247" s="75">
        <v>1</v>
      </c>
      <c r="I247" s="77">
        <v>15300</v>
      </c>
      <c r="J247" s="264">
        <v>6000</v>
      </c>
      <c r="K247" s="77">
        <v>2970</v>
      </c>
      <c r="L247" s="264">
        <v>2999.8122423365085</v>
      </c>
      <c r="M247" s="77"/>
      <c r="N247" s="264"/>
      <c r="O247" s="78">
        <f t="shared" si="12"/>
        <v>2970</v>
      </c>
      <c r="P247" s="78">
        <f t="shared" si="13"/>
        <v>2999.8122423365085</v>
      </c>
      <c r="S247" s="18"/>
      <c r="T247" s="18"/>
      <c r="W247" s="53"/>
      <c r="X247" s="53"/>
    </row>
    <row r="248" spans="2:24" ht="30" customHeight="1" x14ac:dyDescent="0.2">
      <c r="B248" s="83" t="s">
        <v>1749</v>
      </c>
      <c r="C248" s="74">
        <v>26</v>
      </c>
      <c r="D248" s="506" t="str">
        <f>IFERROR(VLOOKUP(B248,Fontes!$A$9:$AC$6124,2,FALSE),0)</f>
        <v>Transformador de 750kVA a seco, IP 21, Tap's primários:  13,8 / 13,2 / 12,6 / 12 / 11,4kV, Tap's secundários: 220/127V - neutro aterrado, isolamento classe  15 kV, frequência 60Hz</v>
      </c>
      <c r="E248" s="507">
        <f>IFERROR(VLOOKUP(D248,Planilha!$B$10:$AC$943,4,FALSE),0)</f>
        <v>0</v>
      </c>
      <c r="F248" s="508">
        <f>IFERROR(VLOOKUP(E248,Planilha!$B$10:$AC$943,4,FALSE),0)</f>
        <v>0</v>
      </c>
      <c r="G248" s="75" t="str">
        <f>IFERROR(VLOOKUP(B248,Fontes!$A$9:$AC$6124,3,FALSE),0)</f>
        <v>un</v>
      </c>
      <c r="H248" s="75">
        <v>1</v>
      </c>
      <c r="I248" s="77">
        <v>204000</v>
      </c>
      <c r="J248" s="264">
        <v>0</v>
      </c>
      <c r="K248" s="77">
        <v>121500.00000000001</v>
      </c>
      <c r="L248" s="264">
        <v>12000</v>
      </c>
      <c r="M248" s="77"/>
      <c r="N248" s="264"/>
      <c r="O248" s="78">
        <f>IFERROR(+MIN(I248,K248,M248),0)</f>
        <v>121500.00000000001</v>
      </c>
      <c r="P248" s="78">
        <f>L248</f>
        <v>12000</v>
      </c>
      <c r="S248" s="18"/>
      <c r="T248" s="18"/>
      <c r="W248" s="53"/>
      <c r="X248" s="53"/>
    </row>
    <row r="249" spans="2:24" ht="44.25" customHeight="1" x14ac:dyDescent="0.2">
      <c r="B249" s="83" t="s">
        <v>1750</v>
      </c>
      <c r="C249" s="74">
        <v>27</v>
      </c>
      <c r="D249" s="506" t="str">
        <f>IFERROR(VLOOKUP(B249,Fontes!$A$9:$AC$6124,2,FALSE),0)</f>
        <v>Grupo gerador a diesel, com potência intermitente de 750 kVA e potência contínua de 680 kVA, tensão 220/127V e frequência de 60Hz, equipado com sistema de comando Paralelismo e Sincronismo e atenuação de ruídos</v>
      </c>
      <c r="E249" s="507">
        <f>IFERROR(VLOOKUP(D249,Planilha!$B$10:$AC$943,4,FALSE),0)</f>
        <v>0</v>
      </c>
      <c r="F249" s="508">
        <f>IFERROR(VLOOKUP(E249,Planilha!$B$10:$AC$943,4,FALSE),0)</f>
        <v>0</v>
      </c>
      <c r="G249" s="75" t="str">
        <f>IFERROR(VLOOKUP(B249,Fontes!$A$9:$AC$6124,3,FALSE),0)</f>
        <v>cj</v>
      </c>
      <c r="H249" s="75">
        <v>1</v>
      </c>
      <c r="I249" s="77">
        <v>696090</v>
      </c>
      <c r="J249" s="264">
        <v>25000</v>
      </c>
      <c r="K249" s="77" t="s">
        <v>2228</v>
      </c>
      <c r="L249" s="264" t="s">
        <v>2228</v>
      </c>
      <c r="M249" s="77"/>
      <c r="N249" s="264"/>
      <c r="O249" s="78">
        <f>IFERROR(+MIN(I249,K249,M249),0)</f>
        <v>696090</v>
      </c>
      <c r="P249" s="78">
        <f t="shared" si="13"/>
        <v>25000</v>
      </c>
      <c r="S249" s="18"/>
      <c r="T249" s="18"/>
      <c r="W249" s="53"/>
      <c r="X249" s="53"/>
    </row>
    <row r="250" spans="2:24" ht="67.5" customHeight="1" x14ac:dyDescent="0.2">
      <c r="B250" s="83" t="s">
        <v>1751</v>
      </c>
      <c r="C250" s="74">
        <v>28</v>
      </c>
      <c r="D250" s="506" t="str">
        <f>IFERROR(VLOOKUP(B250,Fontes!$A$9:$AC$6124,2,FALSE),0)</f>
        <v>No-breaks de 5 KVA, tensão de entrada: 220 VCA três fios mais um terra. As UPSs devem possuir tecnologia dupla conversão, true on line, com retificador de 6 pulsos e inversor com IGBT, controlado por microprocessador (DSP). Deve possuir entradas distintas para o ramo do retificador e ramo do by-pass, além de porta de comunicação RS 232 Incluso baterias e gabinetes de montagem igual ao da UPS.</v>
      </c>
      <c r="E250" s="507">
        <f>IFERROR(VLOOKUP(D250,Planilha!$B$10:$AC$943,4,FALSE),0)</f>
        <v>0</v>
      </c>
      <c r="F250" s="508">
        <f>IFERROR(VLOOKUP(E250,Planilha!$B$10:$AC$943,4,FALSE),0)</f>
        <v>0</v>
      </c>
      <c r="G250" s="75" t="str">
        <f>IFERROR(VLOOKUP(B250,Fontes!$A$9:$AC$6124,3,FALSE),0)</f>
        <v>un</v>
      </c>
      <c r="H250" s="75">
        <v>1</v>
      </c>
      <c r="I250" s="77">
        <v>20400</v>
      </c>
      <c r="J250" s="264">
        <v>12000</v>
      </c>
      <c r="K250" s="77">
        <v>16200.000000000002</v>
      </c>
      <c r="L250" s="264">
        <v>4500</v>
      </c>
      <c r="M250" s="77"/>
      <c r="N250" s="264"/>
      <c r="O250" s="78">
        <f t="shared" si="12"/>
        <v>16200.000000000002</v>
      </c>
      <c r="P250" s="78">
        <f t="shared" si="13"/>
        <v>4500</v>
      </c>
      <c r="S250" s="18"/>
      <c r="T250" s="18"/>
      <c r="W250" s="53"/>
      <c r="X250" s="53"/>
    </row>
    <row r="251" spans="2:24" ht="68.25" customHeight="1" x14ac:dyDescent="0.2">
      <c r="B251" s="83" t="s">
        <v>1752</v>
      </c>
      <c r="C251" s="74">
        <v>29</v>
      </c>
      <c r="D251" s="506" t="str">
        <f>IFERROR(VLOOKUP(B251,Fontes!$A$9:$AC$6124,2,FALSE),0)</f>
        <v>No-breaks de 3 KVA, tensão de entrada: 220 VCA três fios mais um terra. As UPSs devem possuir tecnologia dupla conversão, true on line, com retificador de 6 pulsos e inversor com IGBT, controlado por microprocessador (DSP). Deve possuir entradas distintas para o ramo do retificador e ramo do by-pass, além de porta de comunicação RS 232 Incluso baterias e gabinetes de montagem igual ao da UPS.</v>
      </c>
      <c r="E251" s="507">
        <f>IFERROR(VLOOKUP(D251,Planilha!$B$10:$AC$943,4,FALSE),0)</f>
        <v>0</v>
      </c>
      <c r="F251" s="508">
        <f>IFERROR(VLOOKUP(E251,Planilha!$B$10:$AC$943,4,FALSE),0)</f>
        <v>0</v>
      </c>
      <c r="G251" s="75" t="str">
        <f>IFERROR(VLOOKUP(B251,Fontes!$A$9:$AC$6124,3,FALSE),0)</f>
        <v>un</v>
      </c>
      <c r="H251" s="75">
        <v>1</v>
      </c>
      <c r="I251" s="77">
        <v>17731</v>
      </c>
      <c r="J251" s="264">
        <v>7500</v>
      </c>
      <c r="K251" s="77">
        <v>7425.0000000000009</v>
      </c>
      <c r="L251" s="264">
        <v>3000</v>
      </c>
      <c r="M251" s="77"/>
      <c r="N251" s="264"/>
      <c r="O251" s="78">
        <f t="shared" si="12"/>
        <v>7425.0000000000009</v>
      </c>
      <c r="P251" s="78">
        <f t="shared" si="13"/>
        <v>3000</v>
      </c>
      <c r="S251" s="18"/>
      <c r="T251" s="18"/>
      <c r="W251" s="53"/>
      <c r="X251" s="53"/>
    </row>
    <row r="252" spans="2:24" ht="29.25" customHeight="1" x14ac:dyDescent="0.2">
      <c r="B252" s="83" t="s">
        <v>1753</v>
      </c>
      <c r="C252" s="74">
        <v>30</v>
      </c>
      <c r="D252" s="506" t="str">
        <f>IFERROR(VLOOKUP(B252,Fontes!$A$9:$AC$6124,2,FALSE),0)</f>
        <v>Banco de Capacitores Automático (deverá ser reavaliado a necessidade e especificações após devida análise do consumo. Energético)</v>
      </c>
      <c r="E252" s="507">
        <f>IFERROR(VLOOKUP(D252,Planilha!$B$10:$AC$943,4,FALSE),0)</f>
        <v>0</v>
      </c>
      <c r="F252" s="508">
        <f>IFERROR(VLOOKUP(E252,Planilha!$B$10:$AC$943,4,FALSE),0)</f>
        <v>0</v>
      </c>
      <c r="G252" s="75" t="str">
        <f>IFERROR(VLOOKUP(B252,Fontes!$A$9:$AC$6124,3,FALSE),0)</f>
        <v>un</v>
      </c>
      <c r="H252" s="75">
        <v>1</v>
      </c>
      <c r="I252" s="77">
        <v>204000</v>
      </c>
      <c r="J252" s="264">
        <v>64500</v>
      </c>
      <c r="K252" s="77" t="s">
        <v>2228</v>
      </c>
      <c r="L252" s="264" t="s">
        <v>2228</v>
      </c>
      <c r="M252" s="77"/>
      <c r="N252" s="264"/>
      <c r="O252" s="78">
        <f t="shared" si="12"/>
        <v>204000</v>
      </c>
      <c r="P252" s="78">
        <f t="shared" si="13"/>
        <v>64500</v>
      </c>
      <c r="S252" s="18"/>
      <c r="T252" s="18"/>
      <c r="W252" s="53"/>
      <c r="X252" s="53"/>
    </row>
    <row r="253" spans="2:24" ht="27.75" customHeight="1" x14ac:dyDescent="0.2">
      <c r="B253" s="83" t="s">
        <v>1754</v>
      </c>
      <c r="C253" s="74">
        <v>31</v>
      </c>
      <c r="D253" s="506" t="str">
        <f>IFERROR(VLOOKUP(B253,Fontes!$A$9:$AC$6124,2,FALSE),0)</f>
        <v>Estrado (tapete) de Borracha Isolante - Dimensões 1.000 x 1.000 x 25mm para isolação piso de subestações e cabines</v>
      </c>
      <c r="E253" s="507">
        <f>IFERROR(VLOOKUP(D253,Planilha!$B$10:$AC$943,4,FALSE),0)</f>
        <v>0</v>
      </c>
      <c r="F253" s="508">
        <f>IFERROR(VLOOKUP(E253,Planilha!$B$10:$AC$943,4,FALSE),0)</f>
        <v>0</v>
      </c>
      <c r="G253" s="75" t="str">
        <f>IFERROR(VLOOKUP(B253,Fontes!$A$9:$AC$6124,3,FALSE),0)</f>
        <v>un</v>
      </c>
      <c r="H253" s="75">
        <v>1</v>
      </c>
      <c r="I253" s="77">
        <v>1360</v>
      </c>
      <c r="J253" s="264">
        <v>750</v>
      </c>
      <c r="K253" s="77" t="s">
        <v>2228</v>
      </c>
      <c r="L253" s="264" t="s">
        <v>2228</v>
      </c>
      <c r="M253" s="77"/>
      <c r="N253" s="264"/>
      <c r="O253" s="78">
        <f t="shared" si="12"/>
        <v>1360</v>
      </c>
      <c r="P253" s="78">
        <f t="shared" si="13"/>
        <v>750</v>
      </c>
      <c r="S253" s="18"/>
      <c r="T253" s="18"/>
      <c r="W253" s="53"/>
      <c r="X253" s="53"/>
    </row>
    <row r="254" spans="2:24" ht="27.75" customHeight="1" x14ac:dyDescent="0.2">
      <c r="B254" s="83" t="s">
        <v>1755</v>
      </c>
      <c r="C254" s="74">
        <v>32</v>
      </c>
      <c r="D254" s="506" t="str">
        <f>IFERROR(VLOOKUP(B254,Fontes!$A$9:$AC$6124,2,FALSE),0)</f>
        <v>Tampão Ferro Fundido para canaletas subestação para Classe C 250 (ruptura &gt;250 kN) nas dimensões 1,20 m x 0,8</v>
      </c>
      <c r="E254" s="507">
        <f>IFERROR(VLOOKUP(D254,Planilha!$B$10:$AC$943,4,FALSE),0)</f>
        <v>0</v>
      </c>
      <c r="F254" s="508">
        <f>IFERROR(VLOOKUP(E254,Planilha!$B$10:$AC$943,4,FALSE),0)</f>
        <v>0</v>
      </c>
      <c r="G254" s="75" t="str">
        <f>IFERROR(VLOOKUP(B254,Fontes!$A$9:$AC$6124,3,FALSE),0)</f>
        <v>un</v>
      </c>
      <c r="H254" s="75">
        <v>1</v>
      </c>
      <c r="I254" s="77">
        <v>2040</v>
      </c>
      <c r="J254" s="264">
        <v>750</v>
      </c>
      <c r="K254" s="77" t="s">
        <v>2228</v>
      </c>
      <c r="L254" s="264" t="s">
        <v>2228</v>
      </c>
      <c r="M254" s="77"/>
      <c r="N254" s="264"/>
      <c r="O254" s="78">
        <f t="shared" si="12"/>
        <v>2040</v>
      </c>
      <c r="P254" s="78">
        <f t="shared" si="13"/>
        <v>750</v>
      </c>
      <c r="S254" s="18"/>
      <c r="T254" s="18"/>
      <c r="W254" s="53"/>
      <c r="X254" s="53"/>
    </row>
    <row r="255" spans="2:24" ht="20.100000000000001" customHeight="1" x14ac:dyDescent="0.2">
      <c r="B255" s="83" t="s">
        <v>1756</v>
      </c>
      <c r="C255" s="74">
        <v>33</v>
      </c>
      <c r="D255" s="506" t="str">
        <f>IFERROR(VLOOKUP(B255,Fontes!$A$9:$AC$6124,2,FALSE),0)</f>
        <v>Par de Luvas isolante classe II, 25 kV</v>
      </c>
      <c r="E255" s="507">
        <f>IFERROR(VLOOKUP(D255,Planilha!$B$10:$AC$943,4,FALSE),0)</f>
        <v>0</v>
      </c>
      <c r="F255" s="508">
        <f>IFERROR(VLOOKUP(E255,Planilha!$B$10:$AC$943,4,FALSE),0)</f>
        <v>0</v>
      </c>
      <c r="G255" s="75" t="str">
        <f>IFERROR(VLOOKUP(B255,Fontes!$A$9:$AC$6124,3,FALSE),0)</f>
        <v>par</v>
      </c>
      <c r="H255" s="75">
        <v>1</v>
      </c>
      <c r="I255" s="77">
        <v>2890</v>
      </c>
      <c r="J255" s="264">
        <v>300</v>
      </c>
      <c r="K255" s="77">
        <v>2025.0000000000002</v>
      </c>
      <c r="L255" s="264">
        <v>2045.3265288658013</v>
      </c>
      <c r="M255" s="77"/>
      <c r="N255" s="264"/>
      <c r="O255" s="78">
        <f t="shared" si="12"/>
        <v>2025.0000000000002</v>
      </c>
      <c r="P255" s="78">
        <f t="shared" si="13"/>
        <v>300</v>
      </c>
      <c r="S255" s="18"/>
      <c r="T255" s="18"/>
      <c r="W255" s="53"/>
      <c r="X255" s="53"/>
    </row>
    <row r="256" spans="2:24" ht="20.100000000000001" customHeight="1" x14ac:dyDescent="0.2">
      <c r="B256" s="83" t="s">
        <v>1757</v>
      </c>
      <c r="C256" s="74">
        <v>34</v>
      </c>
      <c r="D256" s="506" t="str">
        <f>IFERROR(VLOOKUP(B256,Fontes!$A$9:$AC$6124,2,FALSE),0)</f>
        <v>Par de Luvas de raspa para Cobertura da luva isolante</v>
      </c>
      <c r="E256" s="507">
        <f>IFERROR(VLOOKUP(D256,Planilha!$B$10:$AC$943,4,FALSE),0)</f>
        <v>0</v>
      </c>
      <c r="F256" s="508">
        <f>IFERROR(VLOOKUP(E256,Planilha!$B$10:$AC$943,4,FALSE),0)</f>
        <v>0</v>
      </c>
      <c r="G256" s="75" t="str">
        <f>IFERROR(VLOOKUP(B256,Fontes!$A$9:$AC$6124,3,FALSE),0)</f>
        <v>par</v>
      </c>
      <c r="H256" s="75">
        <v>1</v>
      </c>
      <c r="I256" s="77">
        <v>85</v>
      </c>
      <c r="J256" s="264">
        <v>30</v>
      </c>
      <c r="K256" s="77">
        <v>216</v>
      </c>
      <c r="L256" s="264">
        <v>218.16816307901877</v>
      </c>
      <c r="M256" s="77"/>
      <c r="N256" s="264"/>
      <c r="O256" s="78">
        <f t="shared" si="12"/>
        <v>85</v>
      </c>
      <c r="P256" s="78">
        <f t="shared" si="13"/>
        <v>30</v>
      </c>
      <c r="S256" s="18"/>
      <c r="T256" s="18"/>
      <c r="W256" s="53"/>
      <c r="X256" s="53"/>
    </row>
    <row r="257" spans="2:24" ht="20.100000000000001" customHeight="1" x14ac:dyDescent="0.2">
      <c r="B257" s="83" t="s">
        <v>1758</v>
      </c>
      <c r="C257" s="74">
        <v>35</v>
      </c>
      <c r="D257" s="506" t="str">
        <f>IFERROR(VLOOKUP(B257,Fontes!$A$9:$AC$6124,2,FALSE),0)</f>
        <v>Caixa em madeira porta luvas</v>
      </c>
      <c r="E257" s="507">
        <f>IFERROR(VLOOKUP(D257,Planilha!$B$10:$AC$943,4,FALSE),0)</f>
        <v>0</v>
      </c>
      <c r="F257" s="508">
        <f>IFERROR(VLOOKUP(E257,Planilha!$B$10:$AC$943,4,FALSE),0)</f>
        <v>0</v>
      </c>
      <c r="G257" s="75" t="str">
        <f>IFERROR(VLOOKUP(B257,Fontes!$A$9:$AC$6124,3,FALSE),0)</f>
        <v>un</v>
      </c>
      <c r="H257" s="75">
        <v>1</v>
      </c>
      <c r="I257" s="77">
        <v>510</v>
      </c>
      <c r="J257" s="264">
        <v>300</v>
      </c>
      <c r="K257" s="77">
        <v>418.5</v>
      </c>
      <c r="L257" s="264">
        <v>422.70081596559885</v>
      </c>
      <c r="M257" s="77"/>
      <c r="N257" s="264"/>
      <c r="O257" s="78">
        <f t="shared" si="12"/>
        <v>418.5</v>
      </c>
      <c r="P257" s="78">
        <f t="shared" si="13"/>
        <v>300</v>
      </c>
      <c r="S257" s="18"/>
      <c r="T257" s="18"/>
      <c r="W257" s="53"/>
      <c r="X257" s="53"/>
    </row>
    <row r="258" spans="2:24" ht="20.100000000000001" customHeight="1" x14ac:dyDescent="0.2">
      <c r="B258" s="83" t="s">
        <v>1759</v>
      </c>
      <c r="C258" s="74">
        <v>36</v>
      </c>
      <c r="D258" s="506" t="str">
        <f>IFERROR(VLOOKUP(B258,Fontes!$A$9:$AC$6124,2,FALSE),0)</f>
        <v>Capacete de proteção aba total com jugular</v>
      </c>
      <c r="E258" s="507">
        <f>IFERROR(VLOOKUP(D258,Planilha!$B$10:$AC$943,4,FALSE),0)</f>
        <v>0</v>
      </c>
      <c r="F258" s="508">
        <f>IFERROR(VLOOKUP(E258,Planilha!$B$10:$AC$943,4,FALSE),0)</f>
        <v>0</v>
      </c>
      <c r="G258" s="75" t="str">
        <f>IFERROR(VLOOKUP(B258,Fontes!$A$9:$AC$6124,3,FALSE),0)</f>
        <v>un</v>
      </c>
      <c r="H258" s="75">
        <v>1</v>
      </c>
      <c r="I258" s="77">
        <v>119</v>
      </c>
      <c r="J258" s="264">
        <v>75</v>
      </c>
      <c r="K258" s="77">
        <v>121.50000000000001</v>
      </c>
      <c r="L258" s="264">
        <v>122.71959173194809</v>
      </c>
      <c r="M258" s="77"/>
      <c r="N258" s="264"/>
      <c r="O258" s="78">
        <f t="shared" si="12"/>
        <v>119</v>
      </c>
      <c r="P258" s="78">
        <f t="shared" si="13"/>
        <v>75</v>
      </c>
      <c r="S258" s="18"/>
      <c r="T258" s="18"/>
      <c r="W258" s="53"/>
      <c r="X258" s="53"/>
    </row>
    <row r="259" spans="2:24" ht="24.95" customHeight="1" x14ac:dyDescent="0.2">
      <c r="B259" s="83" t="s">
        <v>1760</v>
      </c>
      <c r="C259" s="74">
        <v>37</v>
      </c>
      <c r="D259" s="506" t="str">
        <f>IFERROR(VLOOKUP(B259,Fontes!$A$9:$AC$6124,2,FALSE),0)</f>
        <v>Óculos de Proteção com lente em acrílico incolor</v>
      </c>
      <c r="E259" s="507">
        <f>IFERROR(VLOOKUP(D259,Planilha!$B$10:$AC$943,4,FALSE),0)</f>
        <v>0</v>
      </c>
      <c r="F259" s="508">
        <f>IFERROR(VLOOKUP(E259,Planilha!$B$10:$AC$943,4,FALSE),0)</f>
        <v>0</v>
      </c>
      <c r="G259" s="75" t="str">
        <f>IFERROR(VLOOKUP(B259,Fontes!$A$9:$AC$6124,3,FALSE),0)</f>
        <v>un</v>
      </c>
      <c r="H259" s="75">
        <v>1</v>
      </c>
      <c r="I259" s="77">
        <v>25.5</v>
      </c>
      <c r="J259" s="264">
        <v>15</v>
      </c>
      <c r="K259" s="77">
        <v>33.75</v>
      </c>
      <c r="L259" s="264">
        <v>34.088775481096683</v>
      </c>
      <c r="M259" s="77"/>
      <c r="N259" s="264"/>
      <c r="O259" s="78">
        <f t="shared" si="12"/>
        <v>25.5</v>
      </c>
      <c r="P259" s="78">
        <f t="shared" si="13"/>
        <v>15</v>
      </c>
      <c r="S259" s="18"/>
      <c r="T259" s="18"/>
      <c r="W259" s="53"/>
      <c r="X259" s="53"/>
    </row>
    <row r="260" spans="2:24" ht="24.95" customHeight="1" x14ac:dyDescent="0.2">
      <c r="B260" s="83" t="s">
        <v>1774</v>
      </c>
      <c r="C260" s="74">
        <v>38</v>
      </c>
      <c r="D260" s="506" t="str">
        <f>IFERROR(VLOOKUP(B260,Fontes!$A$9:$AC$6124,2,FALSE),0)</f>
        <v>Placa Metálica de Advertência “ Perigo de Morte” - fornecimento e instalação</v>
      </c>
      <c r="E260" s="507">
        <f>IFERROR(VLOOKUP(D260,Planilha!$B$10:$AC$943,4,FALSE),0)</f>
        <v>0</v>
      </c>
      <c r="F260" s="508">
        <f>IFERROR(VLOOKUP(E260,Planilha!$B$10:$AC$943,4,FALSE),0)</f>
        <v>0</v>
      </c>
      <c r="G260" s="75" t="str">
        <f>IFERROR(VLOOKUP(B260,Fontes!$A$9:$AC$6124,3,FALSE),0)</f>
        <v>un</v>
      </c>
      <c r="H260" s="75">
        <v>1</v>
      </c>
      <c r="I260" s="77">
        <v>76.5</v>
      </c>
      <c r="J260" s="264">
        <v>45</v>
      </c>
      <c r="K260" s="77">
        <v>33.75</v>
      </c>
      <c r="L260" s="264">
        <v>34.088775481096683</v>
      </c>
      <c r="M260" s="77"/>
      <c r="N260" s="264"/>
      <c r="O260" s="78">
        <f>IFERROR(+MIN(I260,K260,M260),0)</f>
        <v>33.75</v>
      </c>
      <c r="P260" s="78">
        <f>IFERROR(+MIN(J260,L260,N260),0)</f>
        <v>34.088775481096683</v>
      </c>
      <c r="S260" s="18"/>
      <c r="T260" s="18"/>
      <c r="W260" s="53"/>
      <c r="X260" s="53"/>
    </row>
    <row r="261" spans="2:24" ht="24.95" customHeight="1" x14ac:dyDescent="0.2">
      <c r="B261" s="83" t="s">
        <v>1775</v>
      </c>
      <c r="C261" s="74">
        <v>39</v>
      </c>
      <c r="D261" s="506" t="str">
        <f>IFERROR(VLOOKUP(B261,Fontes!$A$9:$AC$6124,2,FALSE),0)</f>
        <v>Acessórios e miudezas</v>
      </c>
      <c r="E261" s="507">
        <f>IFERROR(VLOOKUP(D261,Planilha!$B$10:$AC$943,4,FALSE),0)</f>
        <v>0</v>
      </c>
      <c r="F261" s="508">
        <f>IFERROR(VLOOKUP(E261,Planilha!$B$10:$AC$943,4,FALSE),0)</f>
        <v>0</v>
      </c>
      <c r="G261" s="75" t="str">
        <f>IFERROR(VLOOKUP(B261,Fontes!$A$9:$AC$6124,3,FALSE),0)</f>
        <v>sv</v>
      </c>
      <c r="H261" s="75">
        <v>1</v>
      </c>
      <c r="I261" s="77">
        <v>34000</v>
      </c>
      <c r="J261" s="264"/>
      <c r="K261" s="18">
        <f>25387.9396638079+L261</f>
        <v>25387.939663807902</v>
      </c>
      <c r="L261" s="264"/>
      <c r="M261" s="77"/>
      <c r="N261" s="264"/>
      <c r="O261" s="78">
        <f>IFERROR(+MIN(I261,K261,M261),0)</f>
        <v>25387.939663807902</v>
      </c>
      <c r="P261" s="78">
        <f>IFERROR(+MIN(J261,L261,N261),0)</f>
        <v>0</v>
      </c>
      <c r="R261" s="18"/>
      <c r="S261" s="18"/>
      <c r="T261" s="18"/>
      <c r="W261" s="53"/>
      <c r="X261" s="53"/>
    </row>
    <row r="262" spans="2:24" ht="24.95" customHeight="1" x14ac:dyDescent="0.2">
      <c r="B262" s="83" t="s">
        <v>1776</v>
      </c>
      <c r="C262" s="74">
        <v>40</v>
      </c>
      <c r="D262" s="506" t="str">
        <f>IFERROR(VLOOKUP(B262,Fontes!$A$9:$AC$6124,2,FALSE),0)</f>
        <v>Tubo em PVC soldável marrom Ø 25 mm, inclusive conexões - fornecimento e instalação</v>
      </c>
      <c r="E262" s="507">
        <f>IFERROR(VLOOKUP(D262,Planilha!$B$10:$AC$943,4,FALSE),0)</f>
        <v>0</v>
      </c>
      <c r="F262" s="508">
        <f>IFERROR(VLOOKUP(E262,Planilha!$B$10:$AC$943,4,FALSE),0)</f>
        <v>0</v>
      </c>
      <c r="G262" s="75" t="str">
        <f>IFERROR(VLOOKUP(B262,Fontes!$A$9:$AC$6124,3,FALSE),0)</f>
        <v>m</v>
      </c>
      <c r="H262" s="75">
        <v>1</v>
      </c>
      <c r="I262" s="77"/>
      <c r="J262" s="264"/>
      <c r="K262" s="77">
        <v>10.291050000000002</v>
      </c>
      <c r="L262" s="264">
        <v>6.6291562886311795</v>
      </c>
      <c r="M262" s="77"/>
      <c r="N262" s="264"/>
      <c r="O262" s="78">
        <f t="shared" ref="O262" si="14">IFERROR(+AVERAGE(I262,K262,M262),0)</f>
        <v>10.291050000000002</v>
      </c>
      <c r="P262" s="78">
        <f t="shared" ref="P262" si="15">IFERROR(+AVERAGE(J262,L262,N262),0)</f>
        <v>6.6291562886311795</v>
      </c>
      <c r="S262" s="18"/>
      <c r="T262" s="18"/>
      <c r="W262" s="53"/>
      <c r="X262" s="53"/>
    </row>
    <row r="263" spans="2:24" ht="24.95" customHeight="1" x14ac:dyDescent="0.2">
      <c r="B263" s="83" t="s">
        <v>1777</v>
      </c>
      <c r="C263" s="74">
        <v>41</v>
      </c>
      <c r="D263" s="506" t="str">
        <f>IFERROR(VLOOKUP(B263,Fontes!$A$9:$AC$6124,2,FALSE),0)</f>
        <v>Tubo em PVC soldável marrom Ø 32 mm, inclusive conexões - fornecimento e instalação</v>
      </c>
      <c r="E263" s="507">
        <f>IFERROR(VLOOKUP(D263,Planilha!$B$10:$AC$943,4,FALSE),0)</f>
        <v>0</v>
      </c>
      <c r="F263" s="508">
        <f>IFERROR(VLOOKUP(E263,Planilha!$B$10:$AC$943,4,FALSE),0)</f>
        <v>0</v>
      </c>
      <c r="G263" s="75" t="str">
        <f>IFERROR(VLOOKUP(B263,Fontes!$A$9:$AC$6124,3,FALSE),0)</f>
        <v>m</v>
      </c>
      <c r="H263" s="75">
        <v>1</v>
      </c>
      <c r="I263" s="77"/>
      <c r="J263" s="264"/>
      <c r="K263" s="77">
        <v>26.314200000000003</v>
      </c>
      <c r="L263" s="264">
        <v>16.95074306414784</v>
      </c>
      <c r="M263" s="77"/>
      <c r="N263" s="264"/>
      <c r="O263" s="78">
        <f t="shared" ref="O263:O322" si="16">IFERROR(+AVERAGE(I263,K263,M263),0)</f>
        <v>26.314200000000003</v>
      </c>
      <c r="P263" s="78">
        <f t="shared" ref="P263:P322" si="17">IFERROR(+AVERAGE(J263,L263,N263),0)</f>
        <v>16.95074306414784</v>
      </c>
      <c r="S263" s="18"/>
      <c r="T263" s="18"/>
      <c r="W263" s="53"/>
      <c r="X263" s="53"/>
    </row>
    <row r="264" spans="2:24" ht="24.95" customHeight="1" x14ac:dyDescent="0.2">
      <c r="B264" s="83" t="s">
        <v>1778</v>
      </c>
      <c r="C264" s="74">
        <v>42</v>
      </c>
      <c r="D264" s="506" t="str">
        <f>IFERROR(VLOOKUP(B264,Fontes!$A$9:$AC$6124,2,FALSE),0)</f>
        <v>Tubo em PVC soldável marrom Ø 40 mm, inclusive conexões - fornecimento e instalação</v>
      </c>
      <c r="E264" s="507">
        <f>IFERROR(VLOOKUP(D264,Planilha!$B$10:$AC$943,4,FALSE),0)</f>
        <v>0</v>
      </c>
      <c r="F264" s="508">
        <f>IFERROR(VLOOKUP(E264,Planilha!$B$10:$AC$943,4,FALSE),0)</f>
        <v>0</v>
      </c>
      <c r="G264" s="75" t="str">
        <f>IFERROR(VLOOKUP(B264,Fontes!$A$9:$AC$6124,3,FALSE),0)</f>
        <v>m</v>
      </c>
      <c r="H264" s="75">
        <v>1</v>
      </c>
      <c r="I264" s="77"/>
      <c r="J264" s="264"/>
      <c r="K264" s="77">
        <v>37.169550000000008</v>
      </c>
      <c r="L264" s="264">
        <v>23.943402872213341</v>
      </c>
      <c r="M264" s="77"/>
      <c r="N264" s="264"/>
      <c r="O264" s="78">
        <f t="shared" si="16"/>
        <v>37.169550000000008</v>
      </c>
      <c r="P264" s="78">
        <f t="shared" si="17"/>
        <v>23.943402872213341</v>
      </c>
      <c r="S264" s="18"/>
      <c r="T264" s="18"/>
      <c r="W264" s="53"/>
      <c r="X264" s="53"/>
    </row>
    <row r="265" spans="2:24" ht="24.95" customHeight="1" x14ac:dyDescent="0.2">
      <c r="B265" s="83" t="s">
        <v>1779</v>
      </c>
      <c r="C265" s="74">
        <v>43</v>
      </c>
      <c r="D265" s="506" t="str">
        <f>IFERROR(VLOOKUP(B265,Fontes!$A$9:$AC$6124,2,FALSE),0)</f>
        <v>Tubo em PVC soldável marrom Ø 50 mm, inclusive conexões - fornecimento e instalação</v>
      </c>
      <c r="E265" s="507">
        <f>IFERROR(VLOOKUP(D265,Planilha!$B$10:$AC$943,4,FALSE),0)</f>
        <v>0</v>
      </c>
      <c r="F265" s="508">
        <f>IFERROR(VLOOKUP(E265,Planilha!$B$10:$AC$943,4,FALSE),0)</f>
        <v>0</v>
      </c>
      <c r="G265" s="75" t="str">
        <f>IFERROR(VLOOKUP(B265,Fontes!$A$9:$AC$6124,3,FALSE),0)</f>
        <v>m</v>
      </c>
      <c r="H265" s="75">
        <v>1</v>
      </c>
      <c r="I265" s="77"/>
      <c r="J265" s="264"/>
      <c r="K265" s="77">
        <v>44.193600000000004</v>
      </c>
      <c r="L265" s="264">
        <v>28.468065100961599</v>
      </c>
      <c r="M265" s="77"/>
      <c r="N265" s="264"/>
      <c r="O265" s="78">
        <f t="shared" si="16"/>
        <v>44.193600000000004</v>
      </c>
      <c r="P265" s="78">
        <f t="shared" si="17"/>
        <v>28.468065100961599</v>
      </c>
      <c r="S265" s="18"/>
      <c r="T265" s="18"/>
      <c r="W265" s="53"/>
      <c r="X265" s="53"/>
    </row>
    <row r="266" spans="2:24" ht="24.95" customHeight="1" x14ac:dyDescent="0.2">
      <c r="B266" s="83" t="s">
        <v>2124</v>
      </c>
      <c r="C266" s="74">
        <v>44</v>
      </c>
      <c r="D266" s="506" t="str">
        <f>IFERROR(VLOOKUP(B266,Fontes!$A$9:$AC$6124,2,FALSE),0)</f>
        <v>Tubo em PVC soldável marrom Ø 60 mm, inclusive conexões - fornecimento e instalação</v>
      </c>
      <c r="E266" s="507">
        <f>IFERROR(VLOOKUP(D266,Planilha!$B$10:$AC$943,4,FALSE),0)</f>
        <v>0</v>
      </c>
      <c r="F266" s="508">
        <f>IFERROR(VLOOKUP(E266,Planilha!$B$10:$AC$943,4,FALSE),0)</f>
        <v>0</v>
      </c>
      <c r="G266" s="75" t="str">
        <f>IFERROR(VLOOKUP(B266,Fontes!$A$9:$AC$6124,3,FALSE),0)</f>
        <v>m</v>
      </c>
      <c r="H266" s="75">
        <v>1</v>
      </c>
      <c r="I266" s="77"/>
      <c r="J266" s="264"/>
      <c r="K266" s="77">
        <v>109.20690000000002</v>
      </c>
      <c r="L266" s="264">
        <v>70.347496892631597</v>
      </c>
      <c r="M266" s="77"/>
      <c r="N266" s="264"/>
      <c r="O266" s="78">
        <f t="shared" si="16"/>
        <v>109.20690000000002</v>
      </c>
      <c r="P266" s="78">
        <f t="shared" si="17"/>
        <v>70.347496892631597</v>
      </c>
      <c r="S266" s="18"/>
      <c r="T266" s="18"/>
      <c r="W266" s="53"/>
      <c r="X266" s="53"/>
    </row>
    <row r="267" spans="2:24" ht="24.95" customHeight="1" x14ac:dyDescent="0.2">
      <c r="B267" s="83" t="s">
        <v>2125</v>
      </c>
      <c r="C267" s="74">
        <v>45</v>
      </c>
      <c r="D267" s="506" t="str">
        <f>IFERROR(VLOOKUP(B267,Fontes!$A$9:$AC$6124,2,FALSE),0)</f>
        <v>Registro de gaveta com canopla acabamento cromado simples Ø 3/4" - fornecimento e instalação</v>
      </c>
      <c r="E267" s="507">
        <f>IFERROR(VLOOKUP(D267,Planilha!$B$10:$AC$943,4,FALSE),0)</f>
        <v>0</v>
      </c>
      <c r="F267" s="508">
        <f>IFERROR(VLOOKUP(E267,Planilha!$B$10:$AC$943,4,FALSE),0)</f>
        <v>0</v>
      </c>
      <c r="G267" s="75" t="str">
        <f>IFERROR(VLOOKUP(B267,Fontes!$A$9:$AC$6124,3,FALSE),0)</f>
        <v>un</v>
      </c>
      <c r="H267" s="75">
        <v>1</v>
      </c>
      <c r="I267" s="77"/>
      <c r="J267" s="264"/>
      <c r="K267" s="77">
        <v>141.80400000000003</v>
      </c>
      <c r="L267" s="264">
        <v>91.34547770665344</v>
      </c>
      <c r="M267" s="77"/>
      <c r="N267" s="264"/>
      <c r="O267" s="78">
        <f t="shared" si="16"/>
        <v>141.80400000000003</v>
      </c>
      <c r="P267" s="78">
        <f t="shared" si="17"/>
        <v>91.34547770665344</v>
      </c>
      <c r="S267" s="18"/>
      <c r="T267" s="18"/>
      <c r="W267" s="53"/>
      <c r="X267" s="53"/>
    </row>
    <row r="268" spans="2:24" ht="24.95" customHeight="1" x14ac:dyDescent="0.2">
      <c r="B268" s="83" t="s">
        <v>2126</v>
      </c>
      <c r="C268" s="74">
        <v>46</v>
      </c>
      <c r="D268" s="506" t="str">
        <f>IFERROR(VLOOKUP(B268,Fontes!$A$9:$AC$6124,2,FALSE),0)</f>
        <v>Registro de gaveta com canopla acabamento cromado simples Ø 1" - fornecimento e instalação</v>
      </c>
      <c r="E268" s="507">
        <f>IFERROR(VLOOKUP(D268,Planilha!$B$10:$AC$943,4,FALSE),0)</f>
        <v>0</v>
      </c>
      <c r="F268" s="508">
        <f>IFERROR(VLOOKUP(E268,Planilha!$B$10:$AC$943,4,FALSE),0)</f>
        <v>0</v>
      </c>
      <c r="G268" s="75" t="str">
        <f>IFERROR(VLOOKUP(B268,Fontes!$A$9:$AC$6124,3,FALSE),0)</f>
        <v>un</v>
      </c>
      <c r="H268" s="75">
        <v>1</v>
      </c>
      <c r="I268" s="77"/>
      <c r="J268" s="264"/>
      <c r="K268" s="77">
        <v>168.80400000000003</v>
      </c>
      <c r="L268" s="264">
        <v>108.73799059824776</v>
      </c>
      <c r="M268" s="77"/>
      <c r="N268" s="264"/>
      <c r="O268" s="78">
        <f t="shared" si="16"/>
        <v>168.80400000000003</v>
      </c>
      <c r="P268" s="78">
        <f t="shared" si="17"/>
        <v>108.73799059824776</v>
      </c>
      <c r="S268" s="18"/>
      <c r="T268" s="18"/>
      <c r="W268" s="53"/>
      <c r="X268" s="53"/>
    </row>
    <row r="269" spans="2:24" ht="24.95" customHeight="1" x14ac:dyDescent="0.2">
      <c r="B269" s="83" t="s">
        <v>2127</v>
      </c>
      <c r="C269" s="74">
        <v>47</v>
      </c>
      <c r="D269" s="506" t="str">
        <f>IFERROR(VLOOKUP(B269,Fontes!$A$9:$AC$6124,2,FALSE),0)</f>
        <v>Registro de gaveta em bronze Ø 2" - fornecimento e instalação</v>
      </c>
      <c r="E269" s="507">
        <f>IFERROR(VLOOKUP(D269,Planilha!$B$10:$AC$943,4,FALSE),0)</f>
        <v>0</v>
      </c>
      <c r="F269" s="508">
        <f>IFERROR(VLOOKUP(E269,Planilha!$B$10:$AC$943,4,FALSE),0)</f>
        <v>0</v>
      </c>
      <c r="G269" s="75" t="str">
        <f>IFERROR(VLOOKUP(B269,Fontes!$A$9:$AC$6124,3,FALSE),0)</f>
        <v>un</v>
      </c>
      <c r="H269" s="75">
        <v>1</v>
      </c>
      <c r="I269" s="77"/>
      <c r="J269" s="264"/>
      <c r="K269" s="77">
        <v>163.20150000000001</v>
      </c>
      <c r="L269" s="264">
        <v>105.12904417324192</v>
      </c>
      <c r="M269" s="77"/>
      <c r="N269" s="264"/>
      <c r="O269" s="78">
        <f t="shared" si="16"/>
        <v>163.20150000000001</v>
      </c>
      <c r="P269" s="78">
        <f t="shared" si="17"/>
        <v>105.12904417324192</v>
      </c>
      <c r="S269" s="18"/>
      <c r="T269" s="18"/>
      <c r="W269" s="53"/>
      <c r="X269" s="53"/>
    </row>
    <row r="270" spans="2:24" ht="24.95" customHeight="1" x14ac:dyDescent="0.2">
      <c r="B270" s="83" t="s">
        <v>2128</v>
      </c>
      <c r="C270" s="74">
        <v>48</v>
      </c>
      <c r="D270" s="506" t="str">
        <f>IFERROR(VLOOKUP(B270,Fontes!$A$9:$AC$6124,2,FALSE),0)</f>
        <v>Torneira de lavagem  Ø 3/4"</v>
      </c>
      <c r="E270" s="507">
        <f>IFERROR(VLOOKUP(D270,Planilha!$B$10:$AC$943,4,FALSE),0)</f>
        <v>0</v>
      </c>
      <c r="F270" s="508">
        <f>IFERROR(VLOOKUP(E270,Planilha!$B$10:$AC$943,4,FALSE),0)</f>
        <v>0</v>
      </c>
      <c r="G270" s="75" t="str">
        <f>IFERROR(VLOOKUP(B270,Fontes!$A$9:$AC$6124,3,FALSE),0)</f>
        <v>un</v>
      </c>
      <c r="H270" s="75">
        <v>1</v>
      </c>
      <c r="I270" s="77"/>
      <c r="J270" s="264"/>
      <c r="K270" s="77">
        <v>22.275000000000002</v>
      </c>
      <c r="L270" s="264">
        <v>14.348823135565322</v>
      </c>
      <c r="M270" s="77"/>
      <c r="N270" s="264"/>
      <c r="O270" s="78">
        <f t="shared" si="16"/>
        <v>22.275000000000002</v>
      </c>
      <c r="P270" s="78">
        <f t="shared" si="17"/>
        <v>14.348823135565322</v>
      </c>
      <c r="S270" s="18"/>
      <c r="T270" s="18"/>
      <c r="W270" s="53"/>
      <c r="X270" s="53"/>
    </row>
    <row r="271" spans="2:24" ht="24.95" customHeight="1" x14ac:dyDescent="0.2">
      <c r="B271" s="83" t="s">
        <v>2129</v>
      </c>
      <c r="C271" s="74">
        <v>49</v>
      </c>
      <c r="D271" s="506" t="str">
        <f>IFERROR(VLOOKUP(B271,Fontes!$A$9:$AC$6124,2,FALSE),0)</f>
        <v>Estação compacta de tratamento de água "OSMOSE REVERSA"</v>
      </c>
      <c r="E271" s="507">
        <f>IFERROR(VLOOKUP(D271,Planilha!$B$10:$AC$943,4,FALSE),0)</f>
        <v>0</v>
      </c>
      <c r="F271" s="508">
        <f>IFERROR(VLOOKUP(E271,Planilha!$B$10:$AC$943,4,FALSE),0)</f>
        <v>0</v>
      </c>
      <c r="G271" s="75" t="str">
        <f>IFERROR(VLOOKUP(B271,Fontes!$A$9:$AC$6124,3,FALSE),0)</f>
        <v>un</v>
      </c>
      <c r="H271" s="75">
        <v>1</v>
      </c>
      <c r="I271" s="77"/>
      <c r="J271" s="264"/>
      <c r="K271" s="77" t="s">
        <v>2228</v>
      </c>
      <c r="L271" s="264" t="s">
        <v>2228</v>
      </c>
      <c r="M271" s="77"/>
      <c r="N271" s="264"/>
      <c r="O271" s="78">
        <f t="shared" si="16"/>
        <v>0</v>
      </c>
      <c r="P271" s="78">
        <f t="shared" si="17"/>
        <v>0</v>
      </c>
      <c r="S271" s="18"/>
      <c r="T271" s="18"/>
      <c r="W271" s="53"/>
      <c r="X271" s="53"/>
    </row>
    <row r="272" spans="2:24" ht="24.95" customHeight="1" x14ac:dyDescent="0.2">
      <c r="B272" s="83" t="s">
        <v>2130</v>
      </c>
      <c r="C272" s="74">
        <v>50</v>
      </c>
      <c r="D272" s="506" t="str">
        <f>IFERROR(VLOOKUP(B272,Fontes!$A$9:$AC$6124,2,FALSE),0)</f>
        <v>Reservatório de água ACQUAVIDA - V= 10.000L, 3,00m / H=1,68m, referência ACQUA10000</v>
      </c>
      <c r="E272" s="507">
        <f>IFERROR(VLOOKUP(D272,Planilha!$B$10:$AC$943,4,FALSE),0)</f>
        <v>0</v>
      </c>
      <c r="F272" s="508">
        <f>IFERROR(VLOOKUP(E272,Planilha!$B$10:$AC$943,4,FALSE),0)</f>
        <v>0</v>
      </c>
      <c r="G272" s="75" t="str">
        <f>IFERROR(VLOOKUP(B272,Fontes!$A$9:$AC$6124,3,FALSE),0)</f>
        <v>un</v>
      </c>
      <c r="H272" s="75">
        <v>1</v>
      </c>
      <c r="I272" s="77"/>
      <c r="J272" s="264"/>
      <c r="K272" s="77" t="s">
        <v>2228</v>
      </c>
      <c r="L272" s="264" t="s">
        <v>2228</v>
      </c>
      <c r="M272" s="77"/>
      <c r="N272" s="264"/>
      <c r="O272" s="78">
        <f t="shared" si="16"/>
        <v>0</v>
      </c>
      <c r="P272" s="78">
        <f t="shared" si="17"/>
        <v>0</v>
      </c>
      <c r="S272" s="18"/>
      <c r="T272" s="18"/>
      <c r="W272" s="53"/>
      <c r="X272" s="53"/>
    </row>
    <row r="273" spans="2:24" ht="24.95" customHeight="1" x14ac:dyDescent="0.2">
      <c r="B273" s="83" t="s">
        <v>2131</v>
      </c>
      <c r="C273" s="74">
        <v>51</v>
      </c>
      <c r="D273" s="506" t="str">
        <f>IFERROR(VLOOKUP(B273,Fontes!$A$9:$AC$6124,2,FALSE),0)</f>
        <v>Sistema de pressurização - 1 principal + 1 reserva, revesamento automático - Vazão: 8m³/h, Pressão: 40mca, Potência: 4cv</v>
      </c>
      <c r="E273" s="507">
        <f>IFERROR(VLOOKUP(D273,Planilha!$B$10:$AC$943,4,FALSE),0)</f>
        <v>0</v>
      </c>
      <c r="F273" s="508">
        <f>IFERROR(VLOOKUP(E273,Planilha!$B$10:$AC$943,4,FALSE),0)</f>
        <v>0</v>
      </c>
      <c r="G273" s="75" t="str">
        <f>IFERROR(VLOOKUP(B273,Fontes!$A$9:$AC$6124,3,FALSE),0)</f>
        <v>un</v>
      </c>
      <c r="H273" s="75">
        <v>1</v>
      </c>
      <c r="I273" s="77"/>
      <c r="J273" s="264"/>
      <c r="K273" s="77">
        <v>83758.455000000016</v>
      </c>
      <c r="L273" s="264">
        <v>5000</v>
      </c>
      <c r="M273" s="77"/>
      <c r="N273" s="264"/>
      <c r="O273" s="78">
        <f t="shared" si="16"/>
        <v>83758.455000000016</v>
      </c>
      <c r="P273" s="78">
        <f t="shared" si="17"/>
        <v>5000</v>
      </c>
      <c r="S273" s="18"/>
      <c r="T273" s="18"/>
      <c r="W273" s="53"/>
      <c r="X273" s="53"/>
    </row>
    <row r="274" spans="2:24" ht="24.95" customHeight="1" x14ac:dyDescent="0.2">
      <c r="B274" s="83" t="s">
        <v>2132</v>
      </c>
      <c r="C274" s="74">
        <v>52</v>
      </c>
      <c r="D274" s="506" t="str">
        <f>IFERROR(VLOOKUP(B274,Fontes!$A$9:$AC$6124,2,FALSE),0)</f>
        <v>Hidrômetro Ø 1"</v>
      </c>
      <c r="E274" s="507">
        <f>IFERROR(VLOOKUP(D274,Planilha!$B$10:$AC$943,4,FALSE),0)</f>
        <v>0</v>
      </c>
      <c r="F274" s="508">
        <f>IFERROR(VLOOKUP(E274,Planilha!$B$10:$AC$943,4,FALSE),0)</f>
        <v>0</v>
      </c>
      <c r="G274" s="75" t="str">
        <f>IFERROR(VLOOKUP(B274,Fontes!$A$9:$AC$6124,3,FALSE),0)</f>
        <v>un</v>
      </c>
      <c r="H274" s="75">
        <v>1</v>
      </c>
      <c r="I274" s="77"/>
      <c r="J274" s="264"/>
      <c r="K274" s="77">
        <v>540</v>
      </c>
      <c r="L274" s="264">
        <v>347.85025783188661</v>
      </c>
      <c r="M274" s="77"/>
      <c r="N274" s="264"/>
      <c r="O274" s="78">
        <f t="shared" si="16"/>
        <v>540</v>
      </c>
      <c r="P274" s="78">
        <f t="shared" si="17"/>
        <v>347.85025783188661</v>
      </c>
      <c r="S274" s="18"/>
      <c r="T274" s="18"/>
      <c r="W274" s="53"/>
      <c r="X274" s="53"/>
    </row>
    <row r="275" spans="2:24" ht="24.95" customHeight="1" x14ac:dyDescent="0.2">
      <c r="B275" s="83" t="s">
        <v>2133</v>
      </c>
      <c r="C275" s="74">
        <v>53</v>
      </c>
      <c r="D275" s="506" t="str">
        <f>IFERROR(VLOOKUP(B275,Fontes!$A$9:$AC$6124,2,FALSE),0)</f>
        <v>Torneira de bóia  Ø 1"</v>
      </c>
      <c r="E275" s="507">
        <f>IFERROR(VLOOKUP(D275,Planilha!$B$10:$AC$943,4,FALSE),0)</f>
        <v>0</v>
      </c>
      <c r="F275" s="508">
        <f>IFERROR(VLOOKUP(E275,Planilha!$B$10:$AC$943,4,FALSE),0)</f>
        <v>0</v>
      </c>
      <c r="G275" s="75" t="str">
        <f>IFERROR(VLOOKUP(B275,Fontes!$A$9:$AC$6124,3,FALSE),0)</f>
        <v>un</v>
      </c>
      <c r="H275" s="75">
        <v>1</v>
      </c>
      <c r="I275" s="77"/>
      <c r="J275" s="264"/>
      <c r="K275" s="77">
        <v>135</v>
      </c>
      <c r="L275" s="264">
        <v>86.962564457971652</v>
      </c>
      <c r="M275" s="77"/>
      <c r="N275" s="264"/>
      <c r="O275" s="78">
        <f t="shared" si="16"/>
        <v>135</v>
      </c>
      <c r="P275" s="78">
        <f t="shared" si="17"/>
        <v>86.962564457971652</v>
      </c>
      <c r="S275" s="18"/>
      <c r="T275" s="18"/>
      <c r="W275" s="53"/>
      <c r="X275" s="53"/>
    </row>
    <row r="276" spans="2:24" ht="24.95" customHeight="1" x14ac:dyDescent="0.2">
      <c r="B276" s="83" t="s">
        <v>2134</v>
      </c>
      <c r="C276" s="74">
        <v>54</v>
      </c>
      <c r="D276" s="506" t="str">
        <f>IFERROR(VLOOKUP(B276,Fontes!$A$9:$AC$6124,2,FALSE),0)</f>
        <v>Tubo de PVC com ponta bolsa soldável  Ø 40 mm, inclusive conexões, série reforçada - fornecimento e instalação</v>
      </c>
      <c r="E276" s="507">
        <f>IFERROR(VLOOKUP(D276,Planilha!$B$10:$AC$943,4,FALSE),0)</f>
        <v>0</v>
      </c>
      <c r="F276" s="508">
        <f>IFERROR(VLOOKUP(E276,Planilha!$B$10:$AC$943,4,FALSE),0)</f>
        <v>0</v>
      </c>
      <c r="G276" s="75" t="str">
        <f>IFERROR(VLOOKUP(B276,Fontes!$A$9:$AC$6124,3,FALSE),0)</f>
        <v>m</v>
      </c>
      <c r="H276" s="75">
        <v>1</v>
      </c>
      <c r="I276" s="77"/>
      <c r="J276" s="264"/>
      <c r="K276" s="77">
        <v>26.685450000000003</v>
      </c>
      <c r="L276" s="264">
        <v>17.189890116407259</v>
      </c>
      <c r="M276" s="77"/>
      <c r="N276" s="264"/>
      <c r="O276" s="78">
        <f t="shared" si="16"/>
        <v>26.685450000000003</v>
      </c>
      <c r="P276" s="78">
        <f t="shared" si="17"/>
        <v>17.189890116407259</v>
      </c>
      <c r="S276" s="18"/>
      <c r="T276" s="18"/>
      <c r="W276" s="53"/>
      <c r="X276" s="53"/>
    </row>
    <row r="277" spans="2:24" ht="24.95" customHeight="1" x14ac:dyDescent="0.2">
      <c r="B277" s="83" t="s">
        <v>2135</v>
      </c>
      <c r="C277" s="74">
        <v>55</v>
      </c>
      <c r="D277" s="506" t="str">
        <f>IFERROR(VLOOKUP(B277,Fontes!$A$9:$AC$6124,2,FALSE),0)</f>
        <v>Tubo de PVC com ponto bolsa e virola Ø 50mm, inclusive conexões, série reforçada  - fornecimento e instalação</v>
      </c>
      <c r="E277" s="507">
        <f>IFERROR(VLOOKUP(D277,Planilha!$B$10:$AC$943,4,FALSE),0)</f>
        <v>0</v>
      </c>
      <c r="F277" s="508">
        <f>IFERROR(VLOOKUP(E277,Planilha!$B$10:$AC$943,4,FALSE),0)</f>
        <v>0</v>
      </c>
      <c r="G277" s="75" t="str">
        <f>IFERROR(VLOOKUP(B277,Fontes!$A$9:$AC$6124,3,FALSE),0)</f>
        <v>m</v>
      </c>
      <c r="H277" s="75">
        <v>1</v>
      </c>
      <c r="I277" s="77"/>
      <c r="J277" s="264"/>
      <c r="K277" s="77">
        <v>39.649500000000003</v>
      </c>
      <c r="L277" s="264">
        <v>25.540905181306279</v>
      </c>
      <c r="M277" s="77"/>
      <c r="N277" s="264"/>
      <c r="O277" s="78">
        <f t="shared" si="16"/>
        <v>39.649500000000003</v>
      </c>
      <c r="P277" s="78">
        <f t="shared" si="17"/>
        <v>25.540905181306279</v>
      </c>
      <c r="S277" s="18"/>
      <c r="T277" s="18"/>
      <c r="W277" s="53"/>
      <c r="X277" s="53"/>
    </row>
    <row r="278" spans="2:24" ht="24.95" customHeight="1" x14ac:dyDescent="0.2">
      <c r="B278" s="83" t="s">
        <v>2136</v>
      </c>
      <c r="C278" s="74">
        <v>56</v>
      </c>
      <c r="D278" s="506" t="str">
        <f>IFERROR(VLOOKUP(B278,Fontes!$A$9:$AC$6124,2,FALSE),0)</f>
        <v>Tubo de PVC com ponto bolsa e virola Ø 75mm, inclusive conexões, série reforçada  - fornecimento e instalação</v>
      </c>
      <c r="E278" s="507">
        <f>IFERROR(VLOOKUP(D278,Planilha!$B$10:$AC$943,4,FALSE),0)</f>
        <v>0</v>
      </c>
      <c r="F278" s="508">
        <f>IFERROR(VLOOKUP(E278,Planilha!$B$10:$AC$943,4,FALSE),0)</f>
        <v>0</v>
      </c>
      <c r="G278" s="75" t="str">
        <f>IFERROR(VLOOKUP(B278,Fontes!$A$9:$AC$6124,3,FALSE),0)</f>
        <v>m</v>
      </c>
      <c r="H278" s="75">
        <v>1</v>
      </c>
      <c r="I278" s="77"/>
      <c r="J278" s="264"/>
      <c r="K278" s="77">
        <v>72.839250000000007</v>
      </c>
      <c r="L278" s="264">
        <v>46.920651653298606</v>
      </c>
      <c r="M278" s="77"/>
      <c r="N278" s="264"/>
      <c r="O278" s="78">
        <f t="shared" si="16"/>
        <v>72.839250000000007</v>
      </c>
      <c r="P278" s="78">
        <f t="shared" si="17"/>
        <v>46.920651653298606</v>
      </c>
      <c r="S278" s="18"/>
      <c r="T278" s="18"/>
      <c r="W278" s="53"/>
      <c r="X278" s="53"/>
    </row>
    <row r="279" spans="2:24" ht="24.95" customHeight="1" x14ac:dyDescent="0.2">
      <c r="B279" s="83" t="s">
        <v>2137</v>
      </c>
      <c r="C279" s="74">
        <v>57</v>
      </c>
      <c r="D279" s="506" t="str">
        <f>IFERROR(VLOOKUP(B279,Fontes!$A$9:$AC$6124,2,FALSE),0)</f>
        <v>Tubo de PVC com ponto bolsa e virola Ø 100mm, inclusive conexões, série reforçada  - fornecimento e instalação</v>
      </c>
      <c r="E279" s="507">
        <f>IFERROR(VLOOKUP(D279,Planilha!$B$10:$AC$943,4,FALSE),0)</f>
        <v>0</v>
      </c>
      <c r="F279" s="508">
        <f>IFERROR(VLOOKUP(E279,Planilha!$B$10:$AC$943,4,FALSE),0)</f>
        <v>0</v>
      </c>
      <c r="G279" s="75" t="str">
        <f>IFERROR(VLOOKUP(B279,Fontes!$A$9:$AC$6124,3,FALSE),0)</f>
        <v>m</v>
      </c>
      <c r="H279" s="75">
        <v>1</v>
      </c>
      <c r="I279" s="77"/>
      <c r="J279" s="264"/>
      <c r="K279" s="77">
        <v>100.1781</v>
      </c>
      <c r="L279" s="264">
        <v>64.531440581682446</v>
      </c>
      <c r="M279" s="77"/>
      <c r="N279" s="264"/>
      <c r="O279" s="78">
        <f t="shared" si="16"/>
        <v>100.1781</v>
      </c>
      <c r="P279" s="78">
        <f t="shared" si="17"/>
        <v>64.531440581682446</v>
      </c>
      <c r="S279" s="18"/>
      <c r="T279" s="18"/>
      <c r="W279" s="53"/>
      <c r="X279" s="53"/>
    </row>
    <row r="280" spans="2:24" ht="24.95" customHeight="1" x14ac:dyDescent="0.2">
      <c r="B280" s="83" t="s">
        <v>2138</v>
      </c>
      <c r="C280" s="74">
        <v>58</v>
      </c>
      <c r="D280" s="506" t="str">
        <f>IFERROR(VLOOKUP(B280,Fontes!$A$9:$AC$6124,2,FALSE),0)</f>
        <v>Tubo de PVC com ponto bolsa e virola Ø 150mm, inclusive conexões, série reforçada  - fornecimento e instalação</v>
      </c>
      <c r="E280" s="507">
        <f>IFERROR(VLOOKUP(D280,Planilha!$B$10:$AC$943,4,FALSE),0)</f>
        <v>0</v>
      </c>
      <c r="F280" s="508">
        <f>IFERROR(VLOOKUP(E280,Planilha!$B$10:$AC$943,4,FALSE),0)</f>
        <v>0</v>
      </c>
      <c r="G280" s="75" t="str">
        <f>IFERROR(VLOOKUP(B280,Fontes!$A$9:$AC$6124,3,FALSE),0)</f>
        <v>m</v>
      </c>
      <c r="H280" s="75">
        <v>1</v>
      </c>
      <c r="I280" s="77"/>
      <c r="J280" s="264"/>
      <c r="K280" s="77">
        <v>250.07400000000007</v>
      </c>
      <c r="L280" s="264">
        <v>161.08945440194671</v>
      </c>
      <c r="M280" s="77"/>
      <c r="N280" s="264"/>
      <c r="O280" s="78">
        <f t="shared" si="16"/>
        <v>250.07400000000007</v>
      </c>
      <c r="P280" s="78">
        <f t="shared" si="17"/>
        <v>161.08945440194671</v>
      </c>
      <c r="S280" s="18"/>
      <c r="T280" s="18"/>
      <c r="W280" s="53"/>
      <c r="X280" s="53"/>
    </row>
    <row r="281" spans="2:24" ht="24.95" customHeight="1" x14ac:dyDescent="0.2">
      <c r="B281" s="83" t="s">
        <v>2139</v>
      </c>
      <c r="C281" s="74">
        <v>59</v>
      </c>
      <c r="D281" s="506" t="str">
        <f>IFERROR(VLOOKUP(B281,Fontes!$A$9:$AC$6124,2,FALSE),0)</f>
        <v>Caixa sifonada - Ø 150x150x50mm - fornecimento e instalação</v>
      </c>
      <c r="E281" s="507">
        <f>IFERROR(VLOOKUP(D281,Planilha!$B$10:$AC$943,4,FALSE),0)</f>
        <v>0</v>
      </c>
      <c r="F281" s="508">
        <f>IFERROR(VLOOKUP(E281,Planilha!$B$10:$AC$943,4,FALSE),0)</f>
        <v>0</v>
      </c>
      <c r="G281" s="75" t="str">
        <f>IFERROR(VLOOKUP(B281,Fontes!$A$9:$AC$6124,3,FALSE),0)</f>
        <v>un</v>
      </c>
      <c r="H281" s="75">
        <v>1</v>
      </c>
      <c r="I281" s="77"/>
      <c r="J281" s="264"/>
      <c r="K281" s="77">
        <v>47.411999999999999</v>
      </c>
      <c r="L281" s="264">
        <v>30.541252637639641</v>
      </c>
      <c r="M281" s="77"/>
      <c r="N281" s="264"/>
      <c r="O281" s="78">
        <f t="shared" si="16"/>
        <v>47.411999999999999</v>
      </c>
      <c r="P281" s="78">
        <f t="shared" si="17"/>
        <v>30.541252637639641</v>
      </c>
      <c r="S281" s="18"/>
      <c r="T281" s="18"/>
      <c r="W281" s="53"/>
      <c r="X281" s="53"/>
    </row>
    <row r="282" spans="2:24" ht="24.95" customHeight="1" x14ac:dyDescent="0.2">
      <c r="B282" s="83" t="s">
        <v>2140</v>
      </c>
      <c r="C282" s="74">
        <v>60</v>
      </c>
      <c r="D282" s="506" t="str">
        <f>IFERROR(VLOOKUP(B282,Fontes!$A$9:$AC$6124,2,FALSE),0)</f>
        <v>Caixa de inspeção em alvenaria moldada "in loco", dimensões 60x60cm</v>
      </c>
      <c r="E282" s="507">
        <f>IFERROR(VLOOKUP(D282,Planilha!$B$10:$AC$943,4,FALSE),0)</f>
        <v>0</v>
      </c>
      <c r="F282" s="508">
        <f>IFERROR(VLOOKUP(E282,Planilha!$B$10:$AC$943,4,FALSE),0)</f>
        <v>0</v>
      </c>
      <c r="G282" s="75" t="str">
        <f>IFERROR(VLOOKUP(B282,Fontes!$A$9:$AC$6124,3,FALSE),0)</f>
        <v>un</v>
      </c>
      <c r="H282" s="75">
        <v>1</v>
      </c>
      <c r="I282" s="77"/>
      <c r="J282" s="264"/>
      <c r="K282" s="77" t="s">
        <v>2228</v>
      </c>
      <c r="L282" s="264" t="s">
        <v>2228</v>
      </c>
      <c r="M282" s="77"/>
      <c r="N282" s="264"/>
      <c r="O282" s="78">
        <f t="shared" si="16"/>
        <v>0</v>
      </c>
      <c r="P282" s="78">
        <f t="shared" si="17"/>
        <v>0</v>
      </c>
      <c r="S282" s="18"/>
      <c r="T282" s="18"/>
      <c r="W282" s="53"/>
      <c r="X282" s="53"/>
    </row>
    <row r="283" spans="2:24" ht="24.95" customHeight="1" x14ac:dyDescent="0.2">
      <c r="B283" s="83" t="s">
        <v>2141</v>
      </c>
      <c r="C283" s="74">
        <v>61</v>
      </c>
      <c r="D283" s="506" t="str">
        <f>IFERROR(VLOOKUP(B283,Fontes!$A$9:$AC$6124,2,FALSE),0)</f>
        <v>Caixa de gordura em alvenaria moldada "in loco", dimensões 60x40xcm</v>
      </c>
      <c r="E283" s="507">
        <f>IFERROR(VLOOKUP(D283,Planilha!$B$10:$AC$943,4,FALSE),0)</f>
        <v>0</v>
      </c>
      <c r="F283" s="508">
        <f>IFERROR(VLOOKUP(E283,Planilha!$B$10:$AC$943,4,FALSE),0)</f>
        <v>0</v>
      </c>
      <c r="G283" s="75" t="str">
        <f>IFERROR(VLOOKUP(B283,Fontes!$A$9:$AC$6124,3,FALSE),0)</f>
        <v>un</v>
      </c>
      <c r="H283" s="75">
        <v>1</v>
      </c>
      <c r="I283" s="77"/>
      <c r="J283" s="264"/>
      <c r="K283" s="77" t="s">
        <v>2228</v>
      </c>
      <c r="L283" s="264" t="s">
        <v>2228</v>
      </c>
      <c r="M283" s="77"/>
      <c r="N283" s="264"/>
      <c r="O283" s="78">
        <f t="shared" si="16"/>
        <v>0</v>
      </c>
      <c r="P283" s="78">
        <f t="shared" si="17"/>
        <v>0</v>
      </c>
      <c r="S283" s="18"/>
      <c r="T283" s="18"/>
      <c r="W283" s="53"/>
      <c r="X283" s="53"/>
    </row>
    <row r="284" spans="2:24" ht="24.95" customHeight="1" x14ac:dyDescent="0.2">
      <c r="B284" s="83" t="s">
        <v>2142</v>
      </c>
      <c r="C284" s="74">
        <v>62</v>
      </c>
      <c r="D284" s="506" t="str">
        <f>IFERROR(VLOOKUP(B284,Fontes!$A$9:$AC$6124,2,FALSE),0)</f>
        <v>Tubo em PVC soldável marrom Ø 25 mm, inclusive conexões - fornecimento e instalação</v>
      </c>
      <c r="E284" s="507">
        <f>IFERROR(VLOOKUP(D284,Planilha!$B$10:$AC$943,4,FALSE),0)</f>
        <v>0</v>
      </c>
      <c r="F284" s="508">
        <f>IFERROR(VLOOKUP(E284,Planilha!$B$10:$AC$943,4,FALSE),0)</f>
        <v>0</v>
      </c>
      <c r="G284" s="75" t="str">
        <f>IFERROR(VLOOKUP(B284,Fontes!$A$9:$AC$6124,3,FALSE),0)</f>
        <v>m</v>
      </c>
      <c r="H284" s="75">
        <v>1</v>
      </c>
      <c r="I284" s="77"/>
      <c r="J284" s="264"/>
      <c r="K284" s="77">
        <v>10.291050000000002</v>
      </c>
      <c r="L284" s="264">
        <v>6.6291562886311795</v>
      </c>
      <c r="M284" s="77"/>
      <c r="N284" s="264"/>
      <c r="O284" s="78">
        <f t="shared" si="16"/>
        <v>10.291050000000002</v>
      </c>
      <c r="P284" s="78">
        <f t="shared" si="17"/>
        <v>6.6291562886311795</v>
      </c>
      <c r="S284" s="18"/>
      <c r="T284" s="18"/>
      <c r="W284" s="53"/>
      <c r="X284" s="53"/>
    </row>
    <row r="285" spans="2:24" ht="24.95" customHeight="1" x14ac:dyDescent="0.2">
      <c r="B285" s="83" t="s">
        <v>2143</v>
      </c>
      <c r="C285" s="74">
        <v>63</v>
      </c>
      <c r="D285" s="506" t="str">
        <f>IFERROR(VLOOKUP(B285,Fontes!$A$9:$AC$6124,2,FALSE),0)</f>
        <v>Tubo em PVC soldável marrom Ø 32 mm, inclusive conexões - fornecimento e instalação</v>
      </c>
      <c r="E285" s="507">
        <f>IFERROR(VLOOKUP(D285,Planilha!$B$10:$AC$943,4,FALSE),0)</f>
        <v>0</v>
      </c>
      <c r="F285" s="508">
        <f>IFERROR(VLOOKUP(E285,Planilha!$B$10:$AC$943,4,FALSE),0)</f>
        <v>0</v>
      </c>
      <c r="G285" s="75" t="str">
        <f>IFERROR(VLOOKUP(B285,Fontes!$A$9:$AC$6124,3,FALSE),0)</f>
        <v>m</v>
      </c>
      <c r="H285" s="75">
        <v>1</v>
      </c>
      <c r="I285" s="77"/>
      <c r="J285" s="264"/>
      <c r="K285" s="77">
        <v>26.314200000000003</v>
      </c>
      <c r="L285" s="264">
        <v>16.950743064147836</v>
      </c>
      <c r="M285" s="77"/>
      <c r="N285" s="264"/>
      <c r="O285" s="78">
        <f t="shared" si="16"/>
        <v>26.314200000000003</v>
      </c>
      <c r="P285" s="78">
        <f t="shared" si="17"/>
        <v>16.950743064147836</v>
      </c>
      <c r="S285" s="18"/>
      <c r="T285" s="18"/>
      <c r="W285" s="53"/>
      <c r="X285" s="53"/>
    </row>
    <row r="286" spans="2:24" ht="24.95" customHeight="1" x14ac:dyDescent="0.2">
      <c r="B286" s="83" t="s">
        <v>2144</v>
      </c>
      <c r="C286" s="74">
        <v>64</v>
      </c>
      <c r="D286" s="506" t="str">
        <f>IFERROR(VLOOKUP(B286,Fontes!$A$9:$AC$6124,2,FALSE),0)</f>
        <v>Tubo de PVC com ponto bolsa e virola Ø 40mm, inclusive conexões, série reforçada  - fornecimento e instalação</v>
      </c>
      <c r="E286" s="507">
        <f>IFERROR(VLOOKUP(D286,Planilha!$B$10:$AC$943,4,FALSE),0)</f>
        <v>0</v>
      </c>
      <c r="F286" s="508">
        <f>IFERROR(VLOOKUP(E286,Planilha!$B$10:$AC$943,4,FALSE),0)</f>
        <v>0</v>
      </c>
      <c r="G286" s="75" t="str">
        <f>IFERROR(VLOOKUP(B286,Fontes!$A$9:$AC$6124,3,FALSE),0)</f>
        <v>m</v>
      </c>
      <c r="H286" s="75">
        <v>1</v>
      </c>
      <c r="I286" s="77"/>
      <c r="J286" s="264"/>
      <c r="K286" s="77">
        <v>26.685450000000003</v>
      </c>
      <c r="L286" s="264">
        <v>17.189890116407259</v>
      </c>
      <c r="M286" s="77"/>
      <c r="N286" s="264"/>
      <c r="O286" s="78">
        <f t="shared" si="16"/>
        <v>26.685450000000003</v>
      </c>
      <c r="P286" s="78">
        <f t="shared" si="17"/>
        <v>17.189890116407259</v>
      </c>
      <c r="S286" s="18"/>
      <c r="T286" s="18"/>
      <c r="W286" s="53"/>
      <c r="X286" s="53"/>
    </row>
    <row r="287" spans="2:24" ht="24.95" customHeight="1" x14ac:dyDescent="0.2">
      <c r="B287" s="83" t="s">
        <v>2145</v>
      </c>
      <c r="C287" s="74">
        <v>65</v>
      </c>
      <c r="D287" s="506" t="str">
        <f>IFERROR(VLOOKUP(B287,Fontes!$A$9:$AC$6124,2,FALSE),0)</f>
        <v>Tubo em PVC soldável marrom Ø 60 mm, inclusive conexões - fornecimento e instalação</v>
      </c>
      <c r="E287" s="507">
        <f>IFERROR(VLOOKUP(D287,Planilha!$B$10:$AC$943,4,FALSE),0)</f>
        <v>0</v>
      </c>
      <c r="F287" s="508">
        <f>IFERROR(VLOOKUP(E287,Planilha!$B$10:$AC$943,4,FALSE),0)</f>
        <v>0</v>
      </c>
      <c r="G287" s="75" t="str">
        <f>IFERROR(VLOOKUP(B287,Fontes!$A$9:$AC$6124,3,FALSE),0)</f>
        <v>m</v>
      </c>
      <c r="H287" s="75">
        <v>1</v>
      </c>
      <c r="I287" s="77"/>
      <c r="J287" s="264"/>
      <c r="K287" s="77">
        <v>109.20690000000002</v>
      </c>
      <c r="L287" s="264">
        <v>70.347496892631582</v>
      </c>
      <c r="M287" s="77"/>
      <c r="N287" s="264"/>
      <c r="O287" s="78">
        <f t="shared" si="16"/>
        <v>109.20690000000002</v>
      </c>
      <c r="P287" s="78">
        <f t="shared" si="17"/>
        <v>70.347496892631582</v>
      </c>
      <c r="S287" s="18"/>
      <c r="T287" s="18"/>
      <c r="W287" s="53"/>
      <c r="X287" s="53"/>
    </row>
    <row r="288" spans="2:24" ht="24.95" customHeight="1" x14ac:dyDescent="0.2">
      <c r="B288" s="83" t="s">
        <v>2146</v>
      </c>
      <c r="C288" s="74">
        <v>66</v>
      </c>
      <c r="D288" s="506" t="str">
        <f>IFERROR(VLOOKUP(B288,Fontes!$A$9:$AC$6124,2,FALSE),0)</f>
        <v>Tubo em PVC com ponta, bolsa e virola, Ø 75 mm, inclusive conexões, série reforçada - fornecimento e assentamento</v>
      </c>
      <c r="E288" s="507">
        <f>IFERROR(VLOOKUP(D288,Planilha!$B$10:$AC$943,4,FALSE),0)</f>
        <v>0</v>
      </c>
      <c r="F288" s="508">
        <f>IFERROR(VLOOKUP(E288,Planilha!$B$10:$AC$943,4,FALSE),0)</f>
        <v>0</v>
      </c>
      <c r="G288" s="75" t="str">
        <f>IFERROR(VLOOKUP(B288,Fontes!$A$9:$AC$6124,3,FALSE),0)</f>
        <v>m</v>
      </c>
      <c r="H288" s="75">
        <v>1</v>
      </c>
      <c r="I288" s="77"/>
      <c r="J288" s="264"/>
      <c r="K288" s="77">
        <v>72.839250000000007</v>
      </c>
      <c r="L288" s="264">
        <v>46.920651653298606</v>
      </c>
      <c r="M288" s="77"/>
      <c r="N288" s="264"/>
      <c r="O288" s="78">
        <f t="shared" si="16"/>
        <v>72.839250000000007</v>
      </c>
      <c r="P288" s="78">
        <f t="shared" si="17"/>
        <v>46.920651653298606</v>
      </c>
      <c r="S288" s="18"/>
      <c r="T288" s="18"/>
      <c r="W288" s="53"/>
      <c r="X288" s="53"/>
    </row>
    <row r="289" spans="2:24" ht="24.95" customHeight="1" x14ac:dyDescent="0.2">
      <c r="B289" s="83" t="s">
        <v>2147</v>
      </c>
      <c r="C289" s="74">
        <v>67</v>
      </c>
      <c r="D289" s="506" t="str">
        <f>IFERROR(VLOOKUP(B289,Fontes!$A$9:$AC$6124,2,FALSE),0)</f>
        <v>Tubo em PVC com ponta, bolsa e virola, Ø 100 mm, inclusive conexões, série
reforçada - fornecimento e assentamento</v>
      </c>
      <c r="E289" s="507">
        <f>IFERROR(VLOOKUP(D289,Planilha!$B$10:$AC$943,4,FALSE),0)</f>
        <v>0</v>
      </c>
      <c r="F289" s="508">
        <f>IFERROR(VLOOKUP(E289,Planilha!$B$10:$AC$943,4,FALSE),0)</f>
        <v>0</v>
      </c>
      <c r="G289" s="75" t="str">
        <f>IFERROR(VLOOKUP(B289,Fontes!$A$9:$AC$6124,3,FALSE),0)</f>
        <v>m</v>
      </c>
      <c r="H289" s="75">
        <v>1</v>
      </c>
      <c r="I289" s="77"/>
      <c r="J289" s="264"/>
      <c r="K289" s="77">
        <v>100.1781</v>
      </c>
      <c r="L289" s="264">
        <v>64.531440581682446</v>
      </c>
      <c r="M289" s="77"/>
      <c r="N289" s="264"/>
      <c r="O289" s="78">
        <f t="shared" si="16"/>
        <v>100.1781</v>
      </c>
      <c r="P289" s="78">
        <f t="shared" si="17"/>
        <v>64.531440581682446</v>
      </c>
      <c r="S289" s="18"/>
      <c r="T289" s="18"/>
      <c r="W289" s="53"/>
      <c r="X289" s="53"/>
    </row>
    <row r="290" spans="2:24" ht="24.95" customHeight="1" x14ac:dyDescent="0.2">
      <c r="B290" s="83" t="s">
        <v>2148</v>
      </c>
      <c r="C290" s="74">
        <v>68</v>
      </c>
      <c r="D290" s="506" t="str">
        <f>IFERROR(VLOOKUP(B290,Fontes!$A$9:$AC$6124,2,FALSE),0)</f>
        <v>Tubo em PVC com ponta, bolsa e virola, Ø 150 mm, inclusive conexões, série
reforçada - fornecimento e assentamento</v>
      </c>
      <c r="E290" s="507">
        <f>IFERROR(VLOOKUP(D290,Planilha!$B$10:$AC$943,4,FALSE),0)</f>
        <v>0</v>
      </c>
      <c r="F290" s="508">
        <f>IFERROR(VLOOKUP(E290,Planilha!$B$10:$AC$943,4,FALSE),0)</f>
        <v>0</v>
      </c>
      <c r="G290" s="75" t="str">
        <f>IFERROR(VLOOKUP(B290,Fontes!$A$9:$AC$6124,3,FALSE),0)</f>
        <v>m</v>
      </c>
      <c r="H290" s="75">
        <v>1</v>
      </c>
      <c r="I290" s="77"/>
      <c r="J290" s="264"/>
      <c r="K290" s="77">
        <v>250.07400000000007</v>
      </c>
      <c r="L290" s="264">
        <v>161.08945440194674</v>
      </c>
      <c r="M290" s="77"/>
      <c r="N290" s="264"/>
      <c r="O290" s="78">
        <f t="shared" si="16"/>
        <v>250.07400000000007</v>
      </c>
      <c r="P290" s="78">
        <f t="shared" si="17"/>
        <v>161.08945440194674</v>
      </c>
      <c r="S290" s="18"/>
      <c r="T290" s="18"/>
      <c r="W290" s="53"/>
      <c r="X290" s="53"/>
    </row>
    <row r="291" spans="2:24" ht="24.95" customHeight="1" x14ac:dyDescent="0.2">
      <c r="B291" s="83" t="s">
        <v>2149</v>
      </c>
      <c r="C291" s="74">
        <v>69</v>
      </c>
      <c r="D291" s="506" t="str">
        <f>IFERROR(VLOOKUP(B291,Fontes!$A$9:$AC$6124,2,FALSE),0)</f>
        <v>Tubo em PVC com ponta, bolsa e virola, Ø 200 mm, inclusive conexões, série
reforçada - fornecimento e assentamento</v>
      </c>
      <c r="E291" s="507">
        <f>IFERROR(VLOOKUP(D291,Planilha!$B$10:$AC$943,4,FALSE),0)</f>
        <v>0</v>
      </c>
      <c r="F291" s="508">
        <f>IFERROR(VLOOKUP(E291,Planilha!$B$10:$AC$943,4,FALSE),0)</f>
        <v>0</v>
      </c>
      <c r="G291" s="75" t="str">
        <f>IFERROR(VLOOKUP(B291,Fontes!$A$9:$AC$6124,3,FALSE),0)</f>
        <v>m</v>
      </c>
      <c r="H291" s="75">
        <v>1</v>
      </c>
      <c r="I291" s="77"/>
      <c r="J291" s="264"/>
      <c r="K291" s="77">
        <v>524.19015000000013</v>
      </c>
      <c r="L291" s="264">
        <v>337.66607190821361</v>
      </c>
      <c r="M291" s="77"/>
      <c r="N291" s="264"/>
      <c r="O291" s="78">
        <f t="shared" si="16"/>
        <v>524.19015000000013</v>
      </c>
      <c r="P291" s="78">
        <f t="shared" si="17"/>
        <v>337.66607190821361</v>
      </c>
      <c r="S291" s="18"/>
      <c r="T291" s="18"/>
      <c r="W291" s="53"/>
      <c r="X291" s="53"/>
    </row>
    <row r="292" spans="2:24" ht="24.95" customHeight="1" x14ac:dyDescent="0.2">
      <c r="B292" s="83" t="s">
        <v>2150</v>
      </c>
      <c r="C292" s="74">
        <v>70</v>
      </c>
      <c r="D292" s="506" t="str">
        <f>IFERROR(VLOOKUP(B292,Fontes!$A$9:$AC$6124,2,FALSE),0)</f>
        <v>Tubo em PVC com ponta, bolsa e virola, Ø 300 mm, inclusive conexões, série
reforçada - fornecimento e assentamento</v>
      </c>
      <c r="E292" s="507">
        <f>IFERROR(VLOOKUP(D292,Planilha!$B$10:$AC$943,4,FALSE),0)</f>
        <v>0</v>
      </c>
      <c r="F292" s="508">
        <f>IFERROR(VLOOKUP(E292,Planilha!$B$10:$AC$943,4,FALSE),0)</f>
        <v>0</v>
      </c>
      <c r="G292" s="75" t="str">
        <f>IFERROR(VLOOKUP(B292,Fontes!$A$9:$AC$6124,3,FALSE),0)</f>
        <v>m</v>
      </c>
      <c r="H292" s="75">
        <v>1</v>
      </c>
      <c r="I292" s="77"/>
      <c r="J292" s="264"/>
      <c r="K292" s="77">
        <v>1194.2221500000001</v>
      </c>
      <c r="L292" s="264">
        <v>769.27867182601847</v>
      </c>
      <c r="M292" s="77"/>
      <c r="N292" s="264"/>
      <c r="O292" s="78">
        <f t="shared" si="16"/>
        <v>1194.2221500000001</v>
      </c>
      <c r="P292" s="78">
        <f t="shared" si="17"/>
        <v>769.27867182601847</v>
      </c>
      <c r="S292" s="18"/>
      <c r="T292" s="18"/>
      <c r="W292" s="53"/>
      <c r="X292" s="53"/>
    </row>
    <row r="293" spans="2:24" ht="24.95" customHeight="1" x14ac:dyDescent="0.2">
      <c r="B293" s="83" t="s">
        <v>2151</v>
      </c>
      <c r="C293" s="74">
        <v>71</v>
      </c>
      <c r="D293" s="506" t="str">
        <f>IFERROR(VLOOKUP(B293,Fontes!$A$9:$AC$6124,2,FALSE),0)</f>
        <v>Grelha plana em ferro fundido, Ø 75mm - fornecimento e instalação</v>
      </c>
      <c r="E293" s="507">
        <f>IFERROR(VLOOKUP(D293,Planilha!$B$10:$AC$943,4,FALSE),0)</f>
        <v>0</v>
      </c>
      <c r="F293" s="508">
        <f>IFERROR(VLOOKUP(E293,Planilha!$B$10:$AC$943,4,FALSE),0)</f>
        <v>0</v>
      </c>
      <c r="G293" s="75" t="str">
        <f>IFERROR(VLOOKUP(B293,Fontes!$A$9:$AC$6124,3,FALSE),0)</f>
        <v>un</v>
      </c>
      <c r="H293" s="75">
        <v>1</v>
      </c>
      <c r="I293" s="77"/>
      <c r="J293" s="264"/>
      <c r="K293" s="77">
        <v>12.069000000000001</v>
      </c>
      <c r="L293" s="264">
        <v>7.7744532625426652</v>
      </c>
      <c r="M293" s="77"/>
      <c r="N293" s="264"/>
      <c r="O293" s="78">
        <f t="shared" si="16"/>
        <v>12.069000000000001</v>
      </c>
      <c r="P293" s="78">
        <f t="shared" si="17"/>
        <v>7.7744532625426652</v>
      </c>
      <c r="S293" s="18"/>
      <c r="T293" s="18"/>
      <c r="W293" s="53"/>
      <c r="X293" s="53"/>
    </row>
    <row r="294" spans="2:24" ht="24.95" customHeight="1" x14ac:dyDescent="0.2">
      <c r="B294" s="83" t="s">
        <v>2152</v>
      </c>
      <c r="C294" s="74">
        <v>72</v>
      </c>
      <c r="D294" s="506" t="str">
        <f>IFERROR(VLOOKUP(B294,Fontes!$A$9:$AC$6124,2,FALSE),0)</f>
        <v>Grelha hemisférica em ferro fundido, Ø 150mm - fornecimento e instalação</v>
      </c>
      <c r="E294" s="507">
        <f>IFERROR(VLOOKUP(D294,Planilha!$B$10:$AC$943,4,FALSE),0)</f>
        <v>0</v>
      </c>
      <c r="F294" s="508">
        <f>IFERROR(VLOOKUP(E294,Planilha!$B$10:$AC$943,4,FALSE),0)</f>
        <v>0</v>
      </c>
      <c r="G294" s="75" t="str">
        <f>IFERROR(VLOOKUP(B294,Fontes!$A$9:$AC$6124,3,FALSE),0)</f>
        <v>un</v>
      </c>
      <c r="H294" s="75">
        <v>1</v>
      </c>
      <c r="I294" s="77"/>
      <c r="J294" s="264"/>
      <c r="K294" s="77">
        <v>16.5915</v>
      </c>
      <c r="L294" s="264">
        <v>10.687699171884717</v>
      </c>
      <c r="M294" s="77"/>
      <c r="N294" s="264"/>
      <c r="O294" s="78">
        <f t="shared" si="16"/>
        <v>16.5915</v>
      </c>
      <c r="P294" s="78">
        <f t="shared" si="17"/>
        <v>10.687699171884717</v>
      </c>
      <c r="S294" s="18"/>
      <c r="T294" s="18"/>
      <c r="W294" s="53"/>
      <c r="X294" s="53"/>
    </row>
    <row r="295" spans="2:24" ht="24.95" customHeight="1" x14ac:dyDescent="0.2">
      <c r="B295" s="83" t="s">
        <v>2153</v>
      </c>
      <c r="C295" s="74">
        <v>73</v>
      </c>
      <c r="D295" s="506" t="str">
        <f>IFERROR(VLOOKUP(B295,Fontes!$A$9:$AC$6124,2,FALSE),0)</f>
        <v>Filtro fino VORTEX - WFF 300 REF: WISY - AQUASTOCK - fornecimento e instalação</v>
      </c>
      <c r="E295" s="507">
        <f>IFERROR(VLOOKUP(D295,Planilha!$B$10:$AC$943,4,FALSE),0)</f>
        <v>0</v>
      </c>
      <c r="F295" s="508">
        <f>IFERROR(VLOOKUP(E295,Planilha!$B$10:$AC$943,4,FALSE),0)</f>
        <v>0</v>
      </c>
      <c r="G295" s="75" t="str">
        <f>IFERROR(VLOOKUP(B295,Fontes!$A$9:$AC$6124,3,FALSE),0)</f>
        <v>un</v>
      </c>
      <c r="H295" s="75">
        <v>1</v>
      </c>
      <c r="I295" s="77"/>
      <c r="J295" s="264"/>
      <c r="K295" s="77" t="s">
        <v>2228</v>
      </c>
      <c r="L295" s="264" t="s">
        <v>2228</v>
      </c>
      <c r="M295" s="77"/>
      <c r="N295" s="264"/>
      <c r="O295" s="78">
        <f t="shared" si="16"/>
        <v>0</v>
      </c>
      <c r="P295" s="78">
        <f t="shared" si="17"/>
        <v>0</v>
      </c>
      <c r="S295" s="18"/>
      <c r="T295" s="18"/>
      <c r="W295" s="53"/>
      <c r="X295" s="53"/>
    </row>
    <row r="296" spans="2:24" ht="24.95" customHeight="1" x14ac:dyDescent="0.2">
      <c r="B296" s="83" t="s">
        <v>2154</v>
      </c>
      <c r="C296" s="74">
        <v>74</v>
      </c>
      <c r="D296" s="506" t="str">
        <f>IFERROR(VLOOKUP(B296,Fontes!$A$9:$AC$6124,2,FALSE),0)</f>
        <v>Caixa de passagem / inspeção em alvenaria moldada "in loco", dimensões 60x60cm</v>
      </c>
      <c r="E296" s="507">
        <f>IFERROR(VLOOKUP(D296,Planilha!$B$10:$AC$943,4,FALSE),0)</f>
        <v>0</v>
      </c>
      <c r="F296" s="508">
        <f>IFERROR(VLOOKUP(E296,Planilha!$B$10:$AC$943,4,FALSE),0)</f>
        <v>0</v>
      </c>
      <c r="G296" s="75" t="str">
        <f>IFERROR(VLOOKUP(B296,Fontes!$A$9:$AC$6124,3,FALSE),0)</f>
        <v>un</v>
      </c>
      <c r="H296" s="75">
        <v>1</v>
      </c>
      <c r="I296" s="77"/>
      <c r="J296" s="264"/>
      <c r="K296" s="77" t="s">
        <v>2228</v>
      </c>
      <c r="L296" s="264" t="s">
        <v>2228</v>
      </c>
      <c r="M296" s="77"/>
      <c r="N296" s="264"/>
      <c r="O296" s="78">
        <f t="shared" si="16"/>
        <v>0</v>
      </c>
      <c r="P296" s="78">
        <f t="shared" si="17"/>
        <v>0</v>
      </c>
      <c r="S296" s="18"/>
      <c r="T296" s="18"/>
      <c r="W296" s="53"/>
      <c r="X296" s="53"/>
    </row>
    <row r="297" spans="2:24" ht="24.95" customHeight="1" x14ac:dyDescent="0.2">
      <c r="B297" s="83" t="s">
        <v>2155</v>
      </c>
      <c r="C297" s="74">
        <v>75</v>
      </c>
      <c r="D297" s="506" t="str">
        <f>IFERROR(VLOOKUP(B297,Fontes!$A$9:$AC$6124,2,FALSE),0)</f>
        <v>Caixa de passagem / inspeção em alvenaria moldada "in loco", dimensões 80x80cm</v>
      </c>
      <c r="E297" s="507">
        <f>IFERROR(VLOOKUP(D297,Planilha!$B$10:$AC$943,4,FALSE),0)</f>
        <v>0</v>
      </c>
      <c r="F297" s="508">
        <f>IFERROR(VLOOKUP(E297,Planilha!$B$10:$AC$943,4,FALSE),0)</f>
        <v>0</v>
      </c>
      <c r="G297" s="75" t="str">
        <f>IFERROR(VLOOKUP(B297,Fontes!$A$9:$AC$6124,3,FALSE),0)</f>
        <v>un</v>
      </c>
      <c r="H297" s="75">
        <v>1</v>
      </c>
      <c r="I297" s="77"/>
      <c r="J297" s="264"/>
      <c r="K297" s="77" t="s">
        <v>2228</v>
      </c>
      <c r="L297" s="264" t="s">
        <v>2228</v>
      </c>
      <c r="M297" s="77"/>
      <c r="N297" s="264"/>
      <c r="O297" s="78">
        <f t="shared" si="16"/>
        <v>0</v>
      </c>
      <c r="P297" s="78">
        <f t="shared" si="17"/>
        <v>0</v>
      </c>
      <c r="S297" s="18"/>
      <c r="T297" s="18"/>
      <c r="W297" s="53"/>
      <c r="X297" s="53"/>
    </row>
    <row r="298" spans="2:24" ht="24.95" customHeight="1" x14ac:dyDescent="0.2">
      <c r="B298" s="83" t="s">
        <v>2156</v>
      </c>
      <c r="C298" s="74">
        <v>76</v>
      </c>
      <c r="D298" s="506" t="str">
        <f>IFERROR(VLOOKUP(B298,Fontes!$A$9:$AC$6124,2,FALSE),0)</f>
        <v>Caixa de passagem / inspeção em alvenaria moldada "in loco", dimensões 1,00x1,00cm</v>
      </c>
      <c r="E298" s="507">
        <f>IFERROR(VLOOKUP(D298,Planilha!$B$10:$AC$943,4,FALSE),0)</f>
        <v>0</v>
      </c>
      <c r="F298" s="508">
        <f>IFERROR(VLOOKUP(E298,Planilha!$B$10:$AC$943,4,FALSE),0)</f>
        <v>0</v>
      </c>
      <c r="G298" s="75" t="str">
        <f>IFERROR(VLOOKUP(B298,Fontes!$A$9:$AC$6124,3,FALSE),0)</f>
        <v>un</v>
      </c>
      <c r="H298" s="75">
        <v>1</v>
      </c>
      <c r="I298" s="77"/>
      <c r="J298" s="264"/>
      <c r="K298" s="77" t="s">
        <v>2228</v>
      </c>
      <c r="L298" s="264" t="s">
        <v>2228</v>
      </c>
      <c r="M298" s="77"/>
      <c r="N298" s="264"/>
      <c r="O298" s="78">
        <f t="shared" si="16"/>
        <v>0</v>
      </c>
      <c r="P298" s="78">
        <f t="shared" si="17"/>
        <v>0</v>
      </c>
      <c r="S298" s="18"/>
      <c r="T298" s="18"/>
      <c r="W298" s="53"/>
      <c r="X298" s="53"/>
    </row>
    <row r="299" spans="2:24" ht="24.95" customHeight="1" x14ac:dyDescent="0.2">
      <c r="B299" s="83" t="s">
        <v>2157</v>
      </c>
      <c r="C299" s="74">
        <v>77</v>
      </c>
      <c r="D299" s="506" t="str">
        <f>IFERROR(VLOOKUP(B299,Fontes!$A$9:$AC$6124,2,FALSE),0)</f>
        <v>Reservatório de água ACQUAVIDA - V=7.000L, 2,50m / H=1,68m, referência ACQUA7000</v>
      </c>
      <c r="E299" s="507">
        <f>IFERROR(VLOOKUP(D299,Planilha!$B$10:$AC$943,4,FALSE),0)</f>
        <v>0</v>
      </c>
      <c r="F299" s="508">
        <f>IFERROR(VLOOKUP(E299,Planilha!$B$10:$AC$943,4,FALSE),0)</f>
        <v>0</v>
      </c>
      <c r="G299" s="75" t="str">
        <f>IFERROR(VLOOKUP(B299,Fontes!$A$9:$AC$6124,3,FALSE),0)</f>
        <v>un</v>
      </c>
      <c r="H299" s="75">
        <v>1</v>
      </c>
      <c r="I299" s="77"/>
      <c r="J299" s="264"/>
      <c r="K299" s="77" t="s">
        <v>2228</v>
      </c>
      <c r="L299" s="264" t="s">
        <v>2228</v>
      </c>
      <c r="M299" s="77"/>
      <c r="N299" s="264"/>
      <c r="O299" s="78">
        <f t="shared" si="16"/>
        <v>0</v>
      </c>
      <c r="P299" s="78">
        <f t="shared" si="17"/>
        <v>0</v>
      </c>
      <c r="S299" s="18"/>
      <c r="T299" s="18"/>
      <c r="W299" s="53"/>
      <c r="X299" s="53"/>
    </row>
    <row r="300" spans="2:24" ht="24.95" customHeight="1" x14ac:dyDescent="0.2">
      <c r="B300" s="83" t="s">
        <v>2158</v>
      </c>
      <c r="C300" s="74">
        <v>78</v>
      </c>
      <c r="D300" s="506" t="str">
        <f>IFERROR(VLOOKUP(B300,Fontes!$A$9:$AC$6124,2,FALSE),0)</f>
        <v>Sistema de pressurização - REÚSO - 1 principal + 1 reserva, revesamento automático - Vazão: 4m³/h, Pressão: 40mca, Potência: 4cv</v>
      </c>
      <c r="E300" s="507">
        <f>IFERROR(VLOOKUP(D300,Planilha!$B$10:$AC$943,4,FALSE),0)</f>
        <v>0</v>
      </c>
      <c r="F300" s="508">
        <f>IFERROR(VLOOKUP(E300,Planilha!$B$10:$AC$943,4,FALSE),0)</f>
        <v>0</v>
      </c>
      <c r="G300" s="75" t="str">
        <f>IFERROR(VLOOKUP(B300,Fontes!$A$9:$AC$6124,3,FALSE),0)</f>
        <v>un</v>
      </c>
      <c r="H300" s="75">
        <v>1</v>
      </c>
      <c r="I300" s="77"/>
      <c r="J300" s="264"/>
      <c r="K300" s="77">
        <v>83758.455000000016</v>
      </c>
      <c r="L300" s="264">
        <v>5000</v>
      </c>
      <c r="M300" s="77"/>
      <c r="N300" s="264"/>
      <c r="O300" s="78">
        <f t="shared" si="16"/>
        <v>83758.455000000016</v>
      </c>
      <c r="P300" s="78">
        <f t="shared" si="17"/>
        <v>5000</v>
      </c>
      <c r="S300" s="18"/>
      <c r="T300" s="18"/>
      <c r="W300" s="53"/>
      <c r="X300" s="53"/>
    </row>
    <row r="301" spans="2:24" ht="24.95" customHeight="1" x14ac:dyDescent="0.2">
      <c r="B301" s="83" t="s">
        <v>2159</v>
      </c>
      <c r="C301" s="74">
        <v>79</v>
      </c>
      <c r="D301" s="506" t="str">
        <f>IFERROR(VLOOKUP(B301,Fontes!$A$9:$AC$6124,2,FALSE),0)</f>
        <v>Estação para tratamento de água de chuva ALFAMEC - vazão: 1500 L/H, potência: 1cv</v>
      </c>
      <c r="E301" s="507">
        <f>IFERROR(VLOOKUP(D301,Planilha!$B$10:$AC$943,4,FALSE),0)</f>
        <v>0</v>
      </c>
      <c r="F301" s="508">
        <f>IFERROR(VLOOKUP(E301,Planilha!$B$10:$AC$943,4,FALSE),0)</f>
        <v>0</v>
      </c>
      <c r="G301" s="75" t="str">
        <f>IFERROR(VLOOKUP(B301,Fontes!$A$9:$AC$6124,3,FALSE),0)</f>
        <v>un</v>
      </c>
      <c r="H301" s="75">
        <v>1</v>
      </c>
      <c r="I301" s="77"/>
      <c r="J301" s="264"/>
      <c r="K301" s="77" t="s">
        <v>2228</v>
      </c>
      <c r="L301" s="264" t="s">
        <v>2228</v>
      </c>
      <c r="M301" s="77"/>
      <c r="N301" s="264"/>
      <c r="O301" s="78">
        <f t="shared" si="16"/>
        <v>0</v>
      </c>
      <c r="P301" s="78">
        <f t="shared" si="17"/>
        <v>0</v>
      </c>
      <c r="S301" s="18"/>
      <c r="T301" s="18"/>
      <c r="W301" s="53"/>
      <c r="X301" s="53"/>
    </row>
    <row r="302" spans="2:24" ht="24.95" customHeight="1" x14ac:dyDescent="0.2">
      <c r="B302" s="83" t="s">
        <v>2160</v>
      </c>
      <c r="C302" s="74">
        <v>80</v>
      </c>
      <c r="D302" s="506" t="str">
        <f>IFERROR(VLOOKUP(B302,Fontes!$A$9:$AC$6124,2,FALSE),0)</f>
        <v>Poço de recalque de água servida volume = 1000 lts. Ø 1,00</v>
      </c>
      <c r="E302" s="507">
        <f>IFERROR(VLOOKUP(D302,Planilha!$B$10:$AC$943,4,FALSE),0)</f>
        <v>0</v>
      </c>
      <c r="F302" s="508">
        <f>IFERROR(VLOOKUP(E302,Planilha!$B$10:$AC$943,4,FALSE),0)</f>
        <v>0</v>
      </c>
      <c r="G302" s="75" t="str">
        <f>IFERROR(VLOOKUP(B302,Fontes!$A$9:$AC$6124,3,FALSE),0)</f>
        <v>un</v>
      </c>
      <c r="H302" s="75">
        <v>1</v>
      </c>
      <c r="I302" s="77"/>
      <c r="J302" s="264"/>
      <c r="K302" s="77">
        <v>1446.3</v>
      </c>
      <c r="L302" s="264">
        <v>452.1</v>
      </c>
      <c r="M302" s="77"/>
      <c r="N302" s="264"/>
      <c r="O302" s="78">
        <f t="shared" si="16"/>
        <v>1446.3</v>
      </c>
      <c r="P302" s="78">
        <f t="shared" si="17"/>
        <v>452.1</v>
      </c>
      <c r="S302" s="18"/>
      <c r="T302" s="18"/>
      <c r="W302" s="53"/>
      <c r="X302" s="53"/>
    </row>
    <row r="303" spans="2:24" ht="24.95" customHeight="1" x14ac:dyDescent="0.2">
      <c r="B303" s="83" t="s">
        <v>2161</v>
      </c>
      <c r="C303" s="74">
        <v>81</v>
      </c>
      <c r="D303" s="506" t="str">
        <f>IFERROR(VLOOKUP(B303,Fontes!$A$9:$AC$6124,2,FALSE),0)</f>
        <v>Bomba de recalque de água servida, vazão: 13,00m3/h, pressão: 16mca, potência: 1,5cv</v>
      </c>
      <c r="E303" s="507">
        <f>IFERROR(VLOOKUP(D303,Planilha!$B$10:$AC$943,4,FALSE),0)</f>
        <v>0</v>
      </c>
      <c r="F303" s="508">
        <f>IFERROR(VLOOKUP(E303,Planilha!$B$10:$AC$943,4,FALSE),0)</f>
        <v>0</v>
      </c>
      <c r="G303" s="75" t="str">
        <f>IFERROR(VLOOKUP(B303,Fontes!$A$9:$AC$6124,3,FALSE),0)</f>
        <v>un</v>
      </c>
      <c r="H303" s="75">
        <v>1</v>
      </c>
      <c r="I303" s="77"/>
      <c r="J303" s="264"/>
      <c r="K303" s="77">
        <v>3780.0000000000005</v>
      </c>
      <c r="L303" s="264">
        <v>2500</v>
      </c>
      <c r="M303" s="77"/>
      <c r="N303" s="264"/>
      <c r="O303" s="78">
        <f t="shared" si="16"/>
        <v>3780.0000000000005</v>
      </c>
      <c r="P303" s="78">
        <f t="shared" si="17"/>
        <v>2500</v>
      </c>
      <c r="S303" s="18"/>
      <c r="T303" s="18"/>
      <c r="W303" s="53"/>
      <c r="X303" s="53"/>
    </row>
    <row r="304" spans="2:24" ht="24.95" customHeight="1" x14ac:dyDescent="0.2">
      <c r="B304" s="83" t="s">
        <v>2162</v>
      </c>
      <c r="C304" s="74">
        <v>82</v>
      </c>
      <c r="D304" s="506" t="str">
        <f>IFERROR(VLOOKUP(B304,Fontes!$A$9:$AC$6124,2,FALSE),0)</f>
        <v>GRELHA L=0,30cm</v>
      </c>
      <c r="E304" s="507">
        <f>IFERROR(VLOOKUP(D304,Planilha!$B$10:$AC$943,4,FALSE),0)</f>
        <v>0</v>
      </c>
      <c r="F304" s="508">
        <f>IFERROR(VLOOKUP(E304,Planilha!$B$10:$AC$943,4,FALSE),0)</f>
        <v>0</v>
      </c>
      <c r="G304" s="75" t="str">
        <f>IFERROR(VLOOKUP(B304,Fontes!$A$9:$AC$6124,3,FALSE),0)</f>
        <v>M</v>
      </c>
      <c r="H304" s="75">
        <v>1</v>
      </c>
      <c r="I304" s="77"/>
      <c r="J304" s="264"/>
      <c r="K304" s="77">
        <v>45.783000000000001</v>
      </c>
      <c r="L304" s="264">
        <v>29.491904359846785</v>
      </c>
      <c r="M304" s="77"/>
      <c r="N304" s="264"/>
      <c r="O304" s="78">
        <f t="shared" si="16"/>
        <v>45.783000000000001</v>
      </c>
      <c r="P304" s="78">
        <f t="shared" si="17"/>
        <v>29.491904359846785</v>
      </c>
      <c r="S304" s="18"/>
      <c r="T304" s="18"/>
      <c r="W304" s="53"/>
      <c r="X304" s="53"/>
    </row>
    <row r="305" spans="2:24" ht="24.95" customHeight="1" x14ac:dyDescent="0.2">
      <c r="B305" s="83" t="s">
        <v>2163</v>
      </c>
      <c r="C305" s="74">
        <v>83</v>
      </c>
      <c r="D305" s="506" t="str">
        <f>IFERROR(VLOOKUP(B305,Fontes!$A$9:$AC$6124,2,FALSE),0)</f>
        <v>Tubo de cobre rígido sem costura classe "A" Ø 15 mm, inclusive conexões -
fornecimento e assentamento</v>
      </c>
      <c r="E305" s="507">
        <f>IFERROR(VLOOKUP(D305,Planilha!$B$10:$AC$943,4,FALSE),0)</f>
        <v>0</v>
      </c>
      <c r="F305" s="508">
        <f>IFERROR(VLOOKUP(E305,Planilha!$B$10:$AC$943,4,FALSE),0)</f>
        <v>0</v>
      </c>
      <c r="G305" s="75" t="str">
        <f>IFERROR(VLOOKUP(B305,Fontes!$A$9:$AC$6124,3,FALSE),0)</f>
        <v>m</v>
      </c>
      <c r="H305" s="75">
        <v>1</v>
      </c>
      <c r="I305" s="77"/>
      <c r="J305" s="264"/>
      <c r="K305" s="77">
        <v>329.16510000000005</v>
      </c>
      <c r="L305" s="264">
        <v>212.03734241529401</v>
      </c>
      <c r="M305" s="77"/>
      <c r="N305" s="264"/>
      <c r="O305" s="78">
        <f t="shared" si="16"/>
        <v>329.16510000000005</v>
      </c>
      <c r="P305" s="78">
        <f t="shared" si="17"/>
        <v>212.03734241529401</v>
      </c>
      <c r="S305" s="18"/>
      <c r="T305" s="18"/>
      <c r="W305" s="53"/>
      <c r="X305" s="53"/>
    </row>
    <row r="306" spans="2:24" ht="24.95" customHeight="1" x14ac:dyDescent="0.2">
      <c r="B306" s="83" t="s">
        <v>2164</v>
      </c>
      <c r="C306" s="74">
        <v>84</v>
      </c>
      <c r="D306" s="506" t="str">
        <f>IFERROR(VLOOKUP(B306,Fontes!$A$9:$AC$6124,2,FALSE),0)</f>
        <v>Tubo de cobre rígido sem costura classe "A" Ø 22 mm, inclusive conexões -
fornecimento e assentamento</v>
      </c>
      <c r="E306" s="507">
        <f>IFERROR(VLOOKUP(D306,Planilha!$B$10:$AC$943,4,FALSE),0)</f>
        <v>0</v>
      </c>
      <c r="F306" s="508">
        <f>IFERROR(VLOOKUP(E306,Planilha!$B$10:$AC$943,4,FALSE),0)</f>
        <v>0</v>
      </c>
      <c r="G306" s="75" t="str">
        <f>IFERROR(VLOOKUP(B306,Fontes!$A$9:$AC$6124,3,FALSE),0)</f>
        <v>m</v>
      </c>
      <c r="H306" s="75">
        <v>1</v>
      </c>
      <c r="I306" s="77"/>
      <c r="J306" s="264"/>
      <c r="K306" s="77">
        <v>534.48120000000006</v>
      </c>
      <c r="L306" s="264">
        <v>344.29522819684473</v>
      </c>
      <c r="M306" s="77"/>
      <c r="N306" s="264"/>
      <c r="O306" s="78">
        <f t="shared" si="16"/>
        <v>534.48120000000006</v>
      </c>
      <c r="P306" s="78">
        <f t="shared" si="17"/>
        <v>344.29522819684473</v>
      </c>
      <c r="S306" s="18"/>
      <c r="T306" s="18"/>
      <c r="W306" s="53"/>
      <c r="X306" s="53"/>
    </row>
    <row r="307" spans="2:24" ht="24.95" customHeight="1" x14ac:dyDescent="0.2">
      <c r="B307" s="83" t="s">
        <v>2165</v>
      </c>
      <c r="C307" s="74">
        <v>85</v>
      </c>
      <c r="D307" s="506" t="str">
        <f>IFERROR(VLOOKUP(B307,Fontes!$A$9:$AC$6124,2,FALSE),0)</f>
        <v>Tubo de cobre rígido sem costura classe "A" Ø 28 mm, inclusive conexões -
fornecimento e assentamento</v>
      </c>
      <c r="E307" s="507">
        <f>IFERROR(VLOOKUP(D307,Planilha!$B$10:$AC$943,4,FALSE),0)</f>
        <v>0</v>
      </c>
      <c r="F307" s="508">
        <f>IFERROR(VLOOKUP(E307,Planilha!$B$10:$AC$943,4,FALSE),0)</f>
        <v>0</v>
      </c>
      <c r="G307" s="75" t="str">
        <f>IFERROR(VLOOKUP(B307,Fontes!$A$9:$AC$6124,3,FALSE),0)</f>
        <v>m</v>
      </c>
      <c r="H307" s="75">
        <v>1</v>
      </c>
      <c r="I307" s="77"/>
      <c r="J307" s="264"/>
      <c r="K307" s="77">
        <v>698.32125000000019</v>
      </c>
      <c r="L307" s="264">
        <v>449.835605299973</v>
      </c>
      <c r="M307" s="77"/>
      <c r="N307" s="264"/>
      <c r="O307" s="78">
        <f t="shared" si="16"/>
        <v>698.32125000000019</v>
      </c>
      <c r="P307" s="78">
        <f t="shared" si="17"/>
        <v>449.835605299973</v>
      </c>
      <c r="S307" s="18"/>
      <c r="T307" s="18"/>
      <c r="W307" s="53"/>
      <c r="X307" s="53"/>
    </row>
    <row r="308" spans="2:24" ht="24.95" customHeight="1" x14ac:dyDescent="0.2">
      <c r="B308" s="83" t="s">
        <v>2166</v>
      </c>
      <c r="C308" s="74">
        <v>86</v>
      </c>
      <c r="D308" s="506" t="str">
        <f>IFERROR(VLOOKUP(B308,Fontes!$A$9:$AC$6124,2,FALSE),0)</f>
        <v>Ponto de gases especiais + registro de esfera em bronze para gás, Ø ½" - fornecimento e instalação</v>
      </c>
      <c r="E308" s="507">
        <f>IFERROR(VLOOKUP(D308,Planilha!$B$10:$AC$943,4,FALSE),0)</f>
        <v>0</v>
      </c>
      <c r="F308" s="508">
        <f>IFERROR(VLOOKUP(E308,Planilha!$B$10:$AC$943,4,FALSE),0)</f>
        <v>0</v>
      </c>
      <c r="G308" s="75" t="str">
        <f>IFERROR(VLOOKUP(B308,Fontes!$A$9:$AC$6124,3,FALSE),0)</f>
        <v>pt</v>
      </c>
      <c r="H308" s="75">
        <v>1</v>
      </c>
      <c r="I308" s="77"/>
      <c r="J308" s="264"/>
      <c r="K308" s="77" t="s">
        <v>2228</v>
      </c>
      <c r="L308" s="264" t="s">
        <v>2228</v>
      </c>
      <c r="M308" s="77"/>
      <c r="N308" s="264"/>
      <c r="O308" s="78">
        <f t="shared" si="16"/>
        <v>0</v>
      </c>
      <c r="P308" s="78">
        <f t="shared" si="17"/>
        <v>0</v>
      </c>
      <c r="S308" s="18"/>
      <c r="T308" s="18"/>
      <c r="W308" s="53"/>
      <c r="X308" s="53"/>
    </row>
    <row r="309" spans="2:24" ht="24.95" customHeight="1" x14ac:dyDescent="0.2">
      <c r="B309" s="83" t="s">
        <v>2167</v>
      </c>
      <c r="C309" s="74">
        <v>87</v>
      </c>
      <c r="D309" s="506" t="str">
        <f>IFERROR(VLOOKUP(B309,Fontes!$A$9:$AC$6124,2,FALSE),0)</f>
        <v>Cilindro de gás P10</v>
      </c>
      <c r="E309" s="507">
        <f>IFERROR(VLOOKUP(D309,Planilha!$B$10:$AC$943,4,FALSE),0)</f>
        <v>0</v>
      </c>
      <c r="F309" s="508">
        <f>IFERROR(VLOOKUP(E309,Planilha!$B$10:$AC$943,4,FALSE),0)</f>
        <v>0</v>
      </c>
      <c r="G309" s="75" t="str">
        <f>IFERROR(VLOOKUP(B309,Fontes!$A$9:$AC$6124,3,FALSE),0)</f>
        <v>pç</v>
      </c>
      <c r="H309" s="75">
        <v>1</v>
      </c>
      <c r="I309" s="77"/>
      <c r="J309" s="264"/>
      <c r="K309" s="77" t="s">
        <v>2228</v>
      </c>
      <c r="L309" s="264" t="s">
        <v>2228</v>
      </c>
      <c r="M309" s="77"/>
      <c r="N309" s="264"/>
      <c r="O309" s="78">
        <f t="shared" si="16"/>
        <v>0</v>
      </c>
      <c r="P309" s="78">
        <f t="shared" si="17"/>
        <v>0</v>
      </c>
      <c r="S309" s="18"/>
      <c r="T309" s="18"/>
      <c r="W309" s="53"/>
      <c r="X309" s="53"/>
    </row>
    <row r="310" spans="2:24" ht="24.95" customHeight="1" x14ac:dyDescent="0.2">
      <c r="B310" s="83" t="s">
        <v>2168</v>
      </c>
      <c r="C310" s="74">
        <v>88</v>
      </c>
      <c r="D310" s="506" t="str">
        <f>IFERROR(VLOOKUP(B310,Fontes!$A$9:$AC$6124,2,FALSE),0)</f>
        <v>Central de gases para argônio - fornecimento e instalação</v>
      </c>
      <c r="E310" s="507">
        <f>IFERROR(VLOOKUP(D310,Planilha!$B$10:$AC$943,4,FALSE),0)</f>
        <v>0</v>
      </c>
      <c r="F310" s="508">
        <f>IFERROR(VLOOKUP(E310,Planilha!$B$10:$AC$943,4,FALSE),0)</f>
        <v>0</v>
      </c>
      <c r="G310" s="75" t="str">
        <f>IFERROR(VLOOKUP(B310,Fontes!$A$9:$AC$6124,3,FALSE),0)</f>
        <v>un</v>
      </c>
      <c r="H310" s="75">
        <v>1</v>
      </c>
      <c r="I310" s="77"/>
      <c r="J310" s="264"/>
      <c r="K310" s="77" t="s">
        <v>2228</v>
      </c>
      <c r="L310" s="264" t="s">
        <v>2228</v>
      </c>
      <c r="M310" s="77"/>
      <c r="N310" s="264"/>
      <c r="O310" s="78">
        <f t="shared" si="16"/>
        <v>0</v>
      </c>
      <c r="P310" s="78">
        <f t="shared" si="17"/>
        <v>0</v>
      </c>
      <c r="S310" s="18"/>
      <c r="T310" s="18"/>
      <c r="W310" s="53"/>
      <c r="X310" s="53"/>
    </row>
    <row r="311" spans="2:24" ht="24.95" customHeight="1" x14ac:dyDescent="0.2">
      <c r="B311" s="83" t="s">
        <v>2169</v>
      </c>
      <c r="C311" s="74">
        <v>89</v>
      </c>
      <c r="D311" s="506" t="str">
        <f>IFERROR(VLOOKUP(B311,Fontes!$A$9:$AC$6124,2,FALSE),0)</f>
        <v>Central de gases para oxigênio - fornecimento e instalação</v>
      </c>
      <c r="E311" s="507">
        <f>IFERROR(VLOOKUP(D311,Planilha!$B$10:$AC$943,4,FALSE),0)</f>
        <v>0</v>
      </c>
      <c r="F311" s="508">
        <f>IFERROR(VLOOKUP(E311,Planilha!$B$10:$AC$943,4,FALSE),0)</f>
        <v>0</v>
      </c>
      <c r="G311" s="75" t="str">
        <f>IFERROR(VLOOKUP(B311,Fontes!$A$9:$AC$6124,3,FALSE),0)</f>
        <v>un</v>
      </c>
      <c r="H311" s="75">
        <v>1</v>
      </c>
      <c r="I311" s="77"/>
      <c r="J311" s="264"/>
      <c r="K311" s="77" t="s">
        <v>2228</v>
      </c>
      <c r="L311" s="264" t="s">
        <v>2228</v>
      </c>
      <c r="M311" s="77"/>
      <c r="N311" s="264"/>
      <c r="O311" s="78">
        <f t="shared" si="16"/>
        <v>0</v>
      </c>
      <c r="P311" s="78">
        <f t="shared" si="17"/>
        <v>0</v>
      </c>
      <c r="S311" s="18"/>
      <c r="T311" s="18"/>
      <c r="W311" s="53"/>
      <c r="X311" s="53"/>
    </row>
    <row r="312" spans="2:24" ht="24.95" customHeight="1" x14ac:dyDescent="0.2">
      <c r="B312" s="83" t="s">
        <v>2170</v>
      </c>
      <c r="C312" s="74">
        <v>90</v>
      </c>
      <c r="D312" s="506" t="str">
        <f>IFERROR(VLOOKUP(B312,Fontes!$A$9:$AC$6124,2,FALSE),0)</f>
        <v>Central de gases para nitrogênio - fornecimento e instalação</v>
      </c>
      <c r="E312" s="507">
        <f>IFERROR(VLOOKUP(D312,Planilha!$B$10:$AC$943,4,FALSE),0)</f>
        <v>0</v>
      </c>
      <c r="F312" s="508">
        <f>IFERROR(VLOOKUP(E312,Planilha!$B$10:$AC$943,4,FALSE),0)</f>
        <v>0</v>
      </c>
      <c r="G312" s="75" t="str">
        <f>IFERROR(VLOOKUP(B312,Fontes!$A$9:$AC$6124,3,FALSE),0)</f>
        <v>un</v>
      </c>
      <c r="H312" s="75">
        <v>1</v>
      </c>
      <c r="I312" s="77"/>
      <c r="J312" s="264"/>
      <c r="K312" s="77" t="s">
        <v>2228</v>
      </c>
      <c r="L312" s="264" t="s">
        <v>2228</v>
      </c>
      <c r="M312" s="77"/>
      <c r="N312" s="264"/>
      <c r="O312" s="78">
        <f t="shared" si="16"/>
        <v>0</v>
      </c>
      <c r="P312" s="78">
        <f t="shared" si="17"/>
        <v>0</v>
      </c>
      <c r="S312" s="18"/>
      <c r="T312" s="18"/>
      <c r="W312" s="53"/>
      <c r="X312" s="53"/>
    </row>
    <row r="313" spans="2:24" ht="24.95" customHeight="1" x14ac:dyDescent="0.2">
      <c r="B313" s="83" t="s">
        <v>2171</v>
      </c>
      <c r="C313" s="74">
        <v>91</v>
      </c>
      <c r="D313" s="506" t="str">
        <f>IFERROR(VLOOKUP(B313,Fontes!$A$9:$AC$6124,2,FALSE),0)</f>
        <v>Central de gases para ar comprimido - fornecimento e instalação</v>
      </c>
      <c r="E313" s="507">
        <f>IFERROR(VLOOKUP(D313,Planilha!$B$10:$AC$943,4,FALSE),0)</f>
        <v>0</v>
      </c>
      <c r="F313" s="508">
        <f>IFERROR(VLOOKUP(E313,Planilha!$B$10:$AC$943,4,FALSE),0)</f>
        <v>0</v>
      </c>
      <c r="G313" s="75" t="str">
        <f>IFERROR(VLOOKUP(B313,Fontes!$A$9:$AC$6124,3,FALSE),0)</f>
        <v>un</v>
      </c>
      <c r="H313" s="75">
        <v>1</v>
      </c>
      <c r="I313" s="77"/>
      <c r="J313" s="264"/>
      <c r="K313" s="77" t="s">
        <v>2228</v>
      </c>
      <c r="L313" s="264" t="s">
        <v>2228</v>
      </c>
      <c r="M313" s="77"/>
      <c r="N313" s="264"/>
      <c r="O313" s="78">
        <f t="shared" si="16"/>
        <v>0</v>
      </c>
      <c r="P313" s="78">
        <f t="shared" si="17"/>
        <v>0</v>
      </c>
      <c r="S313" s="18"/>
      <c r="T313" s="18"/>
      <c r="W313" s="53"/>
      <c r="X313" s="53"/>
    </row>
    <row r="314" spans="2:24" ht="24.95" customHeight="1" x14ac:dyDescent="0.2">
      <c r="B314" s="83" t="s">
        <v>2172</v>
      </c>
      <c r="C314" s="74">
        <v>92</v>
      </c>
      <c r="D314" s="506" t="str">
        <f>IFERROR(VLOOKUP(B314,Fontes!$A$9:$AC$6124,2,FALSE),0)</f>
        <v>Tubo de cobre rígido sem costura classe "E" Ø 65 mm, inclusive conexões - fornecimento e assentamento</v>
      </c>
      <c r="E314" s="507">
        <f>IFERROR(VLOOKUP(D314,Planilha!$B$10:$AC$943,4,FALSE),0)</f>
        <v>0</v>
      </c>
      <c r="F314" s="508">
        <f>IFERROR(VLOOKUP(E314,Planilha!$B$10:$AC$943,4,FALSE),0)</f>
        <v>0</v>
      </c>
      <c r="G314" s="75" t="str">
        <f>IFERROR(VLOOKUP(B314,Fontes!$A$9:$AC$6124,3,FALSE),0)</f>
        <v>m</v>
      </c>
      <c r="H314" s="75">
        <v>1</v>
      </c>
      <c r="I314" s="77"/>
      <c r="J314" s="264"/>
      <c r="K314" s="77">
        <v>458.10765000000009</v>
      </c>
      <c r="L314" s="264">
        <v>295.0978966060365</v>
      </c>
      <c r="M314" s="77"/>
      <c r="N314" s="264"/>
      <c r="O314" s="78">
        <f t="shared" si="16"/>
        <v>458.10765000000009</v>
      </c>
      <c r="P314" s="78">
        <f t="shared" si="17"/>
        <v>295.0978966060365</v>
      </c>
      <c r="S314" s="18"/>
      <c r="T314" s="18"/>
      <c r="W314" s="53"/>
      <c r="X314" s="53"/>
    </row>
    <row r="315" spans="2:24" ht="24.95" customHeight="1" x14ac:dyDescent="0.2">
      <c r="B315" s="83" t="s">
        <v>2173</v>
      </c>
      <c r="C315" s="74">
        <v>93</v>
      </c>
      <c r="D315" s="506" t="str">
        <f>IFERROR(VLOOKUP(B315,Fontes!$A$9:$AC$6124,2,FALSE),0)</f>
        <v>Extintor de água pressurizada 2-A - 10L - portátil</v>
      </c>
      <c r="E315" s="507">
        <f>IFERROR(VLOOKUP(D315,Planilha!$B$10:$AC$943,4,FALSE),0)</f>
        <v>0</v>
      </c>
      <c r="F315" s="508">
        <f>IFERROR(VLOOKUP(E315,Planilha!$B$10:$AC$943,4,FALSE),0)</f>
        <v>0</v>
      </c>
      <c r="G315" s="75" t="str">
        <f>IFERROR(VLOOKUP(B315,Fontes!$A$9:$AC$6124,3,FALSE),0)</f>
        <v>un</v>
      </c>
      <c r="H315" s="75">
        <v>1</v>
      </c>
      <c r="I315" s="77"/>
      <c r="J315" s="264"/>
      <c r="K315" s="77">
        <v>229.50000000000003</v>
      </c>
      <c r="L315" s="264">
        <v>147.83635957855182</v>
      </c>
      <c r="M315" s="77"/>
      <c r="N315" s="264"/>
      <c r="O315" s="78">
        <f t="shared" si="16"/>
        <v>229.50000000000003</v>
      </c>
      <c r="P315" s="78">
        <f t="shared" si="17"/>
        <v>147.83635957855182</v>
      </c>
      <c r="S315" s="18"/>
      <c r="T315" s="18"/>
      <c r="W315" s="53"/>
      <c r="X315" s="53"/>
    </row>
    <row r="316" spans="2:24" ht="24.95" customHeight="1" x14ac:dyDescent="0.2">
      <c r="B316" s="83" t="s">
        <v>2174</v>
      </c>
      <c r="C316" s="74">
        <v>94</v>
      </c>
      <c r="D316" s="506" t="str">
        <f>IFERROR(VLOOKUP(B316,Fontes!$A$9:$AC$6124,2,FALSE),0)</f>
        <v>Extintor de pó químico ABC 2-A : 20-B:C - 4Kg - portátil</v>
      </c>
      <c r="E316" s="507">
        <f>IFERROR(VLOOKUP(D316,Planilha!$B$10:$AC$943,4,FALSE),0)</f>
        <v>0</v>
      </c>
      <c r="F316" s="508">
        <f>IFERROR(VLOOKUP(E316,Planilha!$B$10:$AC$943,4,FALSE),0)</f>
        <v>0</v>
      </c>
      <c r="G316" s="75" t="str">
        <f>IFERROR(VLOOKUP(B316,Fontes!$A$9:$AC$6124,3,FALSE),0)</f>
        <v>un</v>
      </c>
      <c r="H316" s="75">
        <v>1</v>
      </c>
      <c r="I316" s="77"/>
      <c r="J316" s="264"/>
      <c r="K316" s="77">
        <v>202.5</v>
      </c>
      <c r="L316" s="264">
        <v>130.44384668695747</v>
      </c>
      <c r="M316" s="77"/>
      <c r="N316" s="264"/>
      <c r="O316" s="78">
        <f t="shared" si="16"/>
        <v>202.5</v>
      </c>
      <c r="P316" s="78">
        <f t="shared" si="17"/>
        <v>130.44384668695747</v>
      </c>
      <c r="S316" s="18"/>
      <c r="T316" s="18"/>
      <c r="W316" s="53"/>
      <c r="X316" s="53"/>
    </row>
    <row r="317" spans="2:24" ht="24.95" customHeight="1" x14ac:dyDescent="0.2">
      <c r="B317" s="83" t="s">
        <v>2175</v>
      </c>
      <c r="C317" s="74">
        <v>95</v>
      </c>
      <c r="D317" s="506" t="str">
        <f>IFERROR(VLOOKUP(B317,Fontes!$A$9:$AC$6124,2,FALSE),0)</f>
        <v>Extintor de espuma 2-A:10-B - 9L - portátil</v>
      </c>
      <c r="E317" s="507">
        <f>IFERROR(VLOOKUP(D317,Planilha!$B$10:$AC$943,4,FALSE),0)</f>
        <v>0</v>
      </c>
      <c r="F317" s="508">
        <f>IFERROR(VLOOKUP(E317,Planilha!$B$10:$AC$943,4,FALSE),0)</f>
        <v>0</v>
      </c>
      <c r="G317" s="75" t="str">
        <f>IFERROR(VLOOKUP(B317,Fontes!$A$9:$AC$6124,3,FALSE),0)</f>
        <v>un</v>
      </c>
      <c r="H317" s="75">
        <v>1</v>
      </c>
      <c r="I317" s="77"/>
      <c r="J317" s="264"/>
      <c r="K317" s="77">
        <v>810</v>
      </c>
      <c r="L317" s="264">
        <v>521.77538674782988</v>
      </c>
      <c r="M317" s="77"/>
      <c r="N317" s="264"/>
      <c r="O317" s="78">
        <f t="shared" si="16"/>
        <v>810</v>
      </c>
      <c r="P317" s="78">
        <f t="shared" si="17"/>
        <v>521.77538674782988</v>
      </c>
      <c r="S317" s="18"/>
      <c r="T317" s="18"/>
      <c r="W317" s="53"/>
      <c r="X317" s="53"/>
    </row>
    <row r="318" spans="2:24" ht="24.95" customHeight="1" x14ac:dyDescent="0.2">
      <c r="B318" s="83" t="s">
        <v>2176</v>
      </c>
      <c r="C318" s="74">
        <v>96</v>
      </c>
      <c r="D318" s="506" t="str">
        <f>IFERROR(VLOOKUP(B318,Fontes!$A$9:$AC$6124,2,FALSE),0)</f>
        <v>Abrigo para hidrante, dimensões 90x60x17cm, composto por caixa de incêndio em chapa SAE 1020 laminada a frio, porta com ventilação e visor suporte 1/2 lua, esguicho em latão com engate rápido, 2 mangueiras de incêndio com comprimento=15metros, redução fixa tipo storz em latão e registro de globo angular 45º  Ø  2 1/2" em latão - fornecimento e instalação</v>
      </c>
      <c r="E318" s="507">
        <f>IFERROR(VLOOKUP(D318,Planilha!$B$10:$AC$943,4,FALSE),0)</f>
        <v>0</v>
      </c>
      <c r="F318" s="508">
        <f>IFERROR(VLOOKUP(E318,Planilha!$B$10:$AC$943,4,FALSE),0)</f>
        <v>0</v>
      </c>
      <c r="G318" s="75" t="str">
        <f>IFERROR(VLOOKUP(B318,Fontes!$A$9:$AC$6124,3,FALSE),0)</f>
        <v>un</v>
      </c>
      <c r="H318" s="75">
        <v>1</v>
      </c>
      <c r="I318" s="77"/>
      <c r="J318" s="264"/>
      <c r="K318" s="77">
        <v>2418.6060000000002</v>
      </c>
      <c r="L318" s="264">
        <v>2500</v>
      </c>
      <c r="M318" s="77"/>
      <c r="N318" s="264"/>
      <c r="O318" s="78">
        <f t="shared" si="16"/>
        <v>2418.6060000000002</v>
      </c>
      <c r="P318" s="78">
        <f t="shared" si="17"/>
        <v>2500</v>
      </c>
      <c r="S318" s="18"/>
      <c r="T318" s="18"/>
      <c r="W318" s="53"/>
      <c r="X318" s="53"/>
    </row>
    <row r="319" spans="2:24" ht="24.95" customHeight="1" x14ac:dyDescent="0.2">
      <c r="B319" s="83" t="s">
        <v>2177</v>
      </c>
      <c r="C319" s="74">
        <v>97</v>
      </c>
      <c r="D319" s="506" t="str">
        <f>IFERROR(VLOOKUP(B319,Fontes!$A$9:$AC$6124,2,FALSE),0)</f>
        <v>Hidrante de recalque para canalização preventiva</v>
      </c>
      <c r="E319" s="507">
        <f>IFERROR(VLOOKUP(D319,Planilha!$B$10:$AC$943,4,FALSE),0)</f>
        <v>0</v>
      </c>
      <c r="F319" s="508">
        <f>IFERROR(VLOOKUP(E319,Planilha!$B$10:$AC$943,4,FALSE),0)</f>
        <v>0</v>
      </c>
      <c r="G319" s="75" t="str">
        <f>IFERROR(VLOOKUP(B319,Fontes!$A$9:$AC$6124,3,FALSE),0)</f>
        <v>pç</v>
      </c>
      <c r="H319" s="75">
        <v>1</v>
      </c>
      <c r="I319" s="77"/>
      <c r="J319" s="264"/>
      <c r="K319" s="77">
        <v>2418.6060000000002</v>
      </c>
      <c r="L319" s="264">
        <v>2500</v>
      </c>
      <c r="M319" s="77"/>
      <c r="N319" s="264"/>
      <c r="O319" s="78">
        <f t="shared" si="16"/>
        <v>2418.6060000000002</v>
      </c>
      <c r="P319" s="78">
        <f t="shared" si="17"/>
        <v>2500</v>
      </c>
      <c r="S319" s="18"/>
      <c r="T319" s="18"/>
      <c r="W319" s="53"/>
      <c r="X319" s="53"/>
    </row>
    <row r="320" spans="2:24" ht="24.95" customHeight="1" x14ac:dyDescent="0.2">
      <c r="B320" s="83" t="s">
        <v>2178</v>
      </c>
      <c r="C320" s="74">
        <v>98</v>
      </c>
      <c r="D320" s="506" t="str">
        <f>IFERROR(VLOOKUP(B320,Fontes!$A$9:$AC$6124,2,FALSE),0)</f>
        <v>Bomba de incêndio CMI</v>
      </c>
      <c r="E320" s="507">
        <f>IFERROR(VLOOKUP(D320,Planilha!$B$10:$AC$943,4,FALSE),0)</f>
        <v>0</v>
      </c>
      <c r="F320" s="508">
        <f>IFERROR(VLOOKUP(E320,Planilha!$B$10:$AC$943,4,FALSE),0)</f>
        <v>0</v>
      </c>
      <c r="G320" s="75" t="str">
        <f>IFERROR(VLOOKUP(B320,Fontes!$A$9:$AC$6124,3,FALSE),0)</f>
        <v>pç</v>
      </c>
      <c r="H320" s="75">
        <v>1</v>
      </c>
      <c r="I320" s="77"/>
      <c r="J320" s="264"/>
      <c r="K320" s="77" t="s">
        <v>2228</v>
      </c>
      <c r="L320" s="264" t="s">
        <v>2228</v>
      </c>
      <c r="M320" s="77"/>
      <c r="N320" s="264"/>
      <c r="O320" s="78">
        <f t="shared" si="16"/>
        <v>0</v>
      </c>
      <c r="P320" s="78">
        <f t="shared" si="17"/>
        <v>0</v>
      </c>
      <c r="S320" s="18"/>
      <c r="T320" s="18"/>
      <c r="W320" s="53"/>
      <c r="X320" s="53"/>
    </row>
    <row r="321" spans="1:24" ht="24.95" customHeight="1" x14ac:dyDescent="0.2">
      <c r="B321" s="83" t="s">
        <v>2179</v>
      </c>
      <c r="C321" s="74">
        <v>99</v>
      </c>
      <c r="D321" s="506" t="str">
        <f>IFERROR(VLOOKUP(B321,Fontes!$A$9:$AC$6124,2,FALSE),0)</f>
        <v>Reservatório de água bruta de incêndio: 4.000 litros, consumo NP: 3.000 litros, Total:
7.000 litros, 2,50m / H=1,68m</v>
      </c>
      <c r="E321" s="507">
        <f>IFERROR(VLOOKUP(D321,Planilha!$B$10:$AC$943,4,FALSE),0)</f>
        <v>0</v>
      </c>
      <c r="F321" s="508">
        <f>IFERROR(VLOOKUP(E321,Planilha!$B$10:$AC$943,4,FALSE),0)</f>
        <v>0</v>
      </c>
      <c r="G321" s="75" t="str">
        <f>IFERROR(VLOOKUP(B321,Fontes!$A$9:$AC$6124,3,FALSE),0)</f>
        <v>pç</v>
      </c>
      <c r="H321" s="75">
        <v>1</v>
      </c>
      <c r="I321" s="77"/>
      <c r="J321" s="264"/>
      <c r="K321" s="77" t="s">
        <v>2228</v>
      </c>
      <c r="L321" s="264" t="s">
        <v>2228</v>
      </c>
      <c r="M321" s="77"/>
      <c r="N321" s="264"/>
      <c r="O321" s="78">
        <f t="shared" si="16"/>
        <v>0</v>
      </c>
      <c r="P321" s="78">
        <f t="shared" si="17"/>
        <v>0</v>
      </c>
      <c r="S321" s="18"/>
      <c r="T321" s="18"/>
      <c r="W321" s="53"/>
      <c r="X321" s="53"/>
    </row>
    <row r="322" spans="1:24" ht="24.95" customHeight="1" x14ac:dyDescent="0.2">
      <c r="B322" s="83" t="s">
        <v>2180</v>
      </c>
      <c r="C322" s="74">
        <v>100</v>
      </c>
      <c r="D322" s="506" t="str">
        <f>IFERROR(VLOOKUP(B322,Fontes!$A$9:$AC$6124,2,FALSE),0)</f>
        <v>Acessórios e miudezas</v>
      </c>
      <c r="E322" s="507">
        <f>IFERROR(VLOOKUP(D322,Planilha!$B$10:$AC$943,4,FALSE),0)</f>
        <v>0</v>
      </c>
      <c r="F322" s="508">
        <f>IFERROR(VLOOKUP(E322,Planilha!$B$10:$AC$943,4,FALSE),0)</f>
        <v>0</v>
      </c>
      <c r="G322" s="75" t="str">
        <f>IFERROR(VLOOKUP(B322,Fontes!$A$9:$AC$6124,3,FALSE),0)</f>
        <v>sv</v>
      </c>
      <c r="H322" s="75">
        <v>1</v>
      </c>
      <c r="I322" s="77"/>
      <c r="J322" s="264"/>
      <c r="K322" s="77">
        <v>5497.8176250000006</v>
      </c>
      <c r="L322" s="264">
        <v>3541.5134784610013</v>
      </c>
      <c r="M322" s="77"/>
      <c r="N322" s="264"/>
      <c r="O322" s="78">
        <f t="shared" si="16"/>
        <v>5497.8176250000006</v>
      </c>
      <c r="P322" s="78">
        <f t="shared" si="17"/>
        <v>3541.5134784610013</v>
      </c>
      <c r="S322" s="18"/>
      <c r="T322" s="18"/>
      <c r="W322" s="53"/>
      <c r="X322" s="53"/>
    </row>
    <row r="323" spans="1:24" ht="15.75" thickBot="1" x14ac:dyDescent="0.25">
      <c r="C323" s="79"/>
      <c r="D323" s="493"/>
      <c r="E323" s="494"/>
      <c r="F323" s="495"/>
      <c r="G323" s="80"/>
      <c r="H323" s="80"/>
      <c r="I323" s="81"/>
      <c r="J323" s="280"/>
      <c r="K323" s="81"/>
      <c r="L323" s="280"/>
      <c r="M323" s="81"/>
      <c r="N323" s="280"/>
      <c r="O323" s="81"/>
      <c r="P323" s="82"/>
      <c r="S323" s="73"/>
      <c r="T323" s="73"/>
      <c r="W323" s="73"/>
      <c r="X323" s="73"/>
    </row>
    <row r="324" spans="1:24" x14ac:dyDescent="0.2">
      <c r="S324" s="18"/>
      <c r="U324" s="73"/>
    </row>
    <row r="325" spans="1:24" ht="15.75" thickBot="1" x14ac:dyDescent="0.25">
      <c r="S325" s="18"/>
    </row>
    <row r="326" spans="1:24" s="49" customFormat="1" ht="15.75" thickBot="1" x14ac:dyDescent="0.25">
      <c r="A326" s="87"/>
      <c r="B326" s="87"/>
      <c r="C326" s="46" t="s">
        <v>42</v>
      </c>
      <c r="D326" s="47"/>
      <c r="E326" s="47"/>
      <c r="F326" s="47"/>
      <c r="G326" s="47"/>
      <c r="H326" s="48"/>
      <c r="I326" s="48"/>
      <c r="J326" s="48"/>
      <c r="K326" s="48"/>
      <c r="L326" s="48"/>
      <c r="M326" s="48"/>
      <c r="N326" s="48"/>
      <c r="O326" s="48"/>
      <c r="P326" s="48"/>
      <c r="Q326" s="83"/>
      <c r="R326" s="17"/>
      <c r="U326" s="50"/>
    </row>
    <row r="327" spans="1:24" s="49" customFormat="1" x14ac:dyDescent="0.2">
      <c r="A327" s="87"/>
      <c r="B327" s="87"/>
      <c r="C327" s="551"/>
      <c r="D327" s="551"/>
      <c r="E327" s="551"/>
      <c r="F327" s="551"/>
      <c r="G327" s="551"/>
      <c r="H327" s="551"/>
      <c r="I327" s="551"/>
      <c r="J327" s="551"/>
      <c r="K327" s="551"/>
      <c r="L327" s="551"/>
      <c r="M327" s="551"/>
      <c r="N327" s="551"/>
      <c r="O327" s="551"/>
      <c r="P327" s="551"/>
      <c r="Q327" s="87"/>
      <c r="R327" s="17"/>
      <c r="U327" s="50"/>
    </row>
    <row r="328" spans="1:24" s="49" customFormat="1" x14ac:dyDescent="0.2">
      <c r="A328" s="87"/>
      <c r="B328" s="87"/>
      <c r="C328" s="561" t="s">
        <v>2285</v>
      </c>
      <c r="D328" s="561"/>
      <c r="E328" s="561"/>
      <c r="F328" s="561"/>
      <c r="G328" s="561"/>
      <c r="H328" s="561"/>
      <c r="I328" s="561"/>
      <c r="J328" s="561"/>
      <c r="K328" s="561"/>
      <c r="L328" s="561"/>
      <c r="M328" s="561"/>
      <c r="N328" s="561"/>
      <c r="O328" s="561"/>
      <c r="P328" s="561"/>
      <c r="Q328" s="87"/>
      <c r="R328" s="17"/>
      <c r="U328" s="50"/>
    </row>
    <row r="329" spans="1:24" s="49" customFormat="1" x14ac:dyDescent="0.2">
      <c r="A329" s="87"/>
      <c r="B329" s="87"/>
      <c r="C329" s="497"/>
      <c r="D329" s="497"/>
      <c r="E329" s="497"/>
      <c r="F329" s="497"/>
      <c r="G329" s="497"/>
      <c r="H329" s="497"/>
      <c r="I329" s="497"/>
      <c r="J329" s="497"/>
      <c r="K329" s="497"/>
      <c r="L329" s="497"/>
      <c r="M329" s="497"/>
      <c r="N329" s="497"/>
      <c r="O329" s="497"/>
      <c r="P329" s="497"/>
      <c r="Q329" s="87"/>
      <c r="R329" s="17"/>
      <c r="U329" s="50"/>
    </row>
    <row r="330" spans="1:24" s="49" customFormat="1" x14ac:dyDescent="0.2">
      <c r="A330" s="87"/>
      <c r="B330" s="87"/>
      <c r="C330" s="497"/>
      <c r="D330" s="497"/>
      <c r="E330" s="497"/>
      <c r="F330" s="497"/>
      <c r="G330" s="497"/>
      <c r="H330" s="497"/>
      <c r="I330" s="497"/>
      <c r="J330" s="497"/>
      <c r="K330" s="497"/>
      <c r="L330" s="497"/>
      <c r="M330" s="497"/>
      <c r="N330" s="497"/>
      <c r="O330" s="497"/>
      <c r="P330" s="497"/>
      <c r="Q330" s="87"/>
      <c r="R330" s="17"/>
      <c r="U330" s="50"/>
    </row>
    <row r="331" spans="1:24" s="49" customFormat="1" ht="15.75" thickBot="1" x14ac:dyDescent="0.25">
      <c r="A331" s="87"/>
      <c r="B331" s="87"/>
      <c r="C331" s="498"/>
      <c r="D331" s="498"/>
      <c r="E331" s="498"/>
      <c r="F331" s="498"/>
      <c r="G331" s="498"/>
      <c r="H331" s="498"/>
      <c r="I331" s="498"/>
      <c r="J331" s="498"/>
      <c r="K331" s="498"/>
      <c r="L331" s="498"/>
      <c r="M331" s="498"/>
      <c r="N331" s="498"/>
      <c r="O331" s="498"/>
      <c r="P331" s="498"/>
      <c r="Q331" s="87"/>
      <c r="R331" s="17"/>
      <c r="U331" s="50"/>
    </row>
  </sheetData>
  <mergeCells count="350">
    <mergeCell ref="E4:F4"/>
    <mergeCell ref="G4:M5"/>
    <mergeCell ref="E5:F5"/>
    <mergeCell ref="D11:F11"/>
    <mergeCell ref="G11:H11"/>
    <mergeCell ref="M19:M20"/>
    <mergeCell ref="O19:O20"/>
    <mergeCell ref="D14:F14"/>
    <mergeCell ref="G14:H14"/>
    <mergeCell ref="D15:F15"/>
    <mergeCell ref="G15:H15"/>
    <mergeCell ref="D12:F12"/>
    <mergeCell ref="G12:H12"/>
    <mergeCell ref="D13:F13"/>
    <mergeCell ref="G13:H13"/>
    <mergeCell ref="M17:N17"/>
    <mergeCell ref="M18:N18"/>
    <mergeCell ref="J19:J20"/>
    <mergeCell ref="L19:L20"/>
    <mergeCell ref="N19:N20"/>
    <mergeCell ref="O17:P18"/>
    <mergeCell ref="P19:P20"/>
    <mergeCell ref="D133:F133"/>
    <mergeCell ref="G133:H133"/>
    <mergeCell ref="D27:F27"/>
    <mergeCell ref="C17:C20"/>
    <mergeCell ref="D17:F20"/>
    <mergeCell ref="G17:G20"/>
    <mergeCell ref="H17:H20"/>
    <mergeCell ref="I19:I20"/>
    <mergeCell ref="K19:K20"/>
    <mergeCell ref="C122:P122"/>
    <mergeCell ref="C123:P123"/>
    <mergeCell ref="C124:P124"/>
    <mergeCell ref="G129:H129"/>
    <mergeCell ref="G130:H130"/>
    <mergeCell ref="G131:H131"/>
    <mergeCell ref="G132:H132"/>
    <mergeCell ref="D129:F129"/>
    <mergeCell ref="D130:F130"/>
    <mergeCell ref="D131:F131"/>
    <mergeCell ref="D132:F132"/>
    <mergeCell ref="I17:J17"/>
    <mergeCell ref="I18:J18"/>
    <mergeCell ref="K17:L17"/>
    <mergeCell ref="K18:L18"/>
    <mergeCell ref="D299:F299"/>
    <mergeCell ref="D300:F300"/>
    <mergeCell ref="D301:F301"/>
    <mergeCell ref="D302:F302"/>
    <mergeCell ref="D303:F303"/>
    <mergeCell ref="D282:F282"/>
    <mergeCell ref="D280:F280"/>
    <mergeCell ref="D281:F281"/>
    <mergeCell ref="D278:F278"/>
    <mergeCell ref="D279:F279"/>
    <mergeCell ref="D295:F295"/>
    <mergeCell ref="D296:F296"/>
    <mergeCell ref="D297:F297"/>
    <mergeCell ref="D298:F298"/>
    <mergeCell ref="D289:F289"/>
    <mergeCell ref="D290:F290"/>
    <mergeCell ref="D291:F291"/>
    <mergeCell ref="D292:F292"/>
    <mergeCell ref="D293:F293"/>
    <mergeCell ref="D294:F294"/>
    <mergeCell ref="D321:F321"/>
    <mergeCell ref="D322:F322"/>
    <mergeCell ref="D316:F316"/>
    <mergeCell ref="D314:F314"/>
    <mergeCell ref="D315:F315"/>
    <mergeCell ref="D317:F317"/>
    <mergeCell ref="D312:F312"/>
    <mergeCell ref="D313:F313"/>
    <mergeCell ref="D304:F304"/>
    <mergeCell ref="D305:F305"/>
    <mergeCell ref="D306:F306"/>
    <mergeCell ref="D307:F307"/>
    <mergeCell ref="D308:F308"/>
    <mergeCell ref="D309:F309"/>
    <mergeCell ref="D310:F310"/>
    <mergeCell ref="D311:F311"/>
    <mergeCell ref="D38:F38"/>
    <mergeCell ref="D39:F39"/>
    <mergeCell ref="D40:F40"/>
    <mergeCell ref="D41:F41"/>
    <mergeCell ref="D42:F42"/>
    <mergeCell ref="D43:F43"/>
    <mergeCell ref="D54:F54"/>
    <mergeCell ref="D55:F55"/>
    <mergeCell ref="D62:F62"/>
    <mergeCell ref="D56:F56"/>
    <mergeCell ref="D57:F57"/>
    <mergeCell ref="D58:F58"/>
    <mergeCell ref="D59:F59"/>
    <mergeCell ref="D60:F60"/>
    <mergeCell ref="D61:F61"/>
    <mergeCell ref="D22:F22"/>
    <mergeCell ref="D23:F23"/>
    <mergeCell ref="D24:F24"/>
    <mergeCell ref="D25:F25"/>
    <mergeCell ref="D26:F26"/>
    <mergeCell ref="D50:F50"/>
    <mergeCell ref="D51:F51"/>
    <mergeCell ref="D52:F52"/>
    <mergeCell ref="D53:F53"/>
    <mergeCell ref="D44:F44"/>
    <mergeCell ref="D45:F45"/>
    <mergeCell ref="D46:F46"/>
    <mergeCell ref="D47:F47"/>
    <mergeCell ref="D48:F48"/>
    <mergeCell ref="D49:F49"/>
    <mergeCell ref="D31:F31"/>
    <mergeCell ref="D32:F32"/>
    <mergeCell ref="D28:F28"/>
    <mergeCell ref="D29:F29"/>
    <mergeCell ref="D30:F30"/>
    <mergeCell ref="D33:F33"/>
    <mergeCell ref="D34:F34"/>
    <mergeCell ref="D35:F35"/>
    <mergeCell ref="D37:F37"/>
    <mergeCell ref="D63:F63"/>
    <mergeCell ref="D64:F64"/>
    <mergeCell ref="D65:F65"/>
    <mergeCell ref="D66:F66"/>
    <mergeCell ref="D67:F67"/>
    <mergeCell ref="D86:F86"/>
    <mergeCell ref="D87:F87"/>
    <mergeCell ref="D88:F88"/>
    <mergeCell ref="D89:F89"/>
    <mergeCell ref="D74:F74"/>
    <mergeCell ref="D75:F75"/>
    <mergeCell ref="D76:F76"/>
    <mergeCell ref="D77:F77"/>
    <mergeCell ref="D78:F78"/>
    <mergeCell ref="D79:F79"/>
    <mergeCell ref="D68:F68"/>
    <mergeCell ref="D69:F69"/>
    <mergeCell ref="D70:F70"/>
    <mergeCell ref="D71:F71"/>
    <mergeCell ref="D72:F72"/>
    <mergeCell ref="D73:F73"/>
    <mergeCell ref="D90:F90"/>
    <mergeCell ref="D91:F91"/>
    <mergeCell ref="D80:F80"/>
    <mergeCell ref="D81:F81"/>
    <mergeCell ref="D82:F82"/>
    <mergeCell ref="D83:F83"/>
    <mergeCell ref="D84:F84"/>
    <mergeCell ref="D85:F85"/>
    <mergeCell ref="D98:F98"/>
    <mergeCell ref="D105:F105"/>
    <mergeCell ref="D106:F106"/>
    <mergeCell ref="D107:F107"/>
    <mergeCell ref="D108:F108"/>
    <mergeCell ref="D109:F109"/>
    <mergeCell ref="D92:F92"/>
    <mergeCell ref="D93:F93"/>
    <mergeCell ref="D94:F94"/>
    <mergeCell ref="D95:F95"/>
    <mergeCell ref="D96:F96"/>
    <mergeCell ref="D97:F97"/>
    <mergeCell ref="D110:F110"/>
    <mergeCell ref="D111:F111"/>
    <mergeCell ref="D112:F112"/>
    <mergeCell ref="D113:F113"/>
    <mergeCell ref="D114:F114"/>
    <mergeCell ref="D115:F115"/>
    <mergeCell ref="D116:F116"/>
    <mergeCell ref="C120:P120"/>
    <mergeCell ref="C121:P121"/>
    <mergeCell ref="C135:C138"/>
    <mergeCell ref="D135:F138"/>
    <mergeCell ref="G135:G138"/>
    <mergeCell ref="H135:H138"/>
    <mergeCell ref="I135:J135"/>
    <mergeCell ref="I137:I138"/>
    <mergeCell ref="J137:J138"/>
    <mergeCell ref="D152:F152"/>
    <mergeCell ref="D146:F146"/>
    <mergeCell ref="D147:F147"/>
    <mergeCell ref="D148:F148"/>
    <mergeCell ref="D149:F149"/>
    <mergeCell ref="D150:F150"/>
    <mergeCell ref="D151:F151"/>
    <mergeCell ref="D140:F140"/>
    <mergeCell ref="D141:F141"/>
    <mergeCell ref="D142:F142"/>
    <mergeCell ref="D143:F143"/>
    <mergeCell ref="D144:F144"/>
    <mergeCell ref="D145:F145"/>
    <mergeCell ref="N137:N138"/>
    <mergeCell ref="O137:O138"/>
    <mergeCell ref="P137:P138"/>
    <mergeCell ref="K135:L135"/>
    <mergeCell ref="M135:N135"/>
    <mergeCell ref="O135:P136"/>
    <mergeCell ref="I136:J136"/>
    <mergeCell ref="K136:L136"/>
    <mergeCell ref="M136:N136"/>
    <mergeCell ref="D158:F158"/>
    <mergeCell ref="D159:F159"/>
    <mergeCell ref="D160:F160"/>
    <mergeCell ref="D161:F161"/>
    <mergeCell ref="D162:F162"/>
    <mergeCell ref="D163:F163"/>
    <mergeCell ref="K137:K138"/>
    <mergeCell ref="L137:L138"/>
    <mergeCell ref="M137:M138"/>
    <mergeCell ref="D153:F153"/>
    <mergeCell ref="D154:F154"/>
    <mergeCell ref="D155:F155"/>
    <mergeCell ref="D156:F156"/>
    <mergeCell ref="D157:F157"/>
    <mergeCell ref="D170:F170"/>
    <mergeCell ref="D171:F171"/>
    <mergeCell ref="D172:F172"/>
    <mergeCell ref="D173:F173"/>
    <mergeCell ref="D174:F174"/>
    <mergeCell ref="D175:F175"/>
    <mergeCell ref="D164:F164"/>
    <mergeCell ref="D165:F165"/>
    <mergeCell ref="D166:F166"/>
    <mergeCell ref="D167:F167"/>
    <mergeCell ref="D168:F168"/>
    <mergeCell ref="D169:F169"/>
    <mergeCell ref="D182:F182"/>
    <mergeCell ref="D183:F183"/>
    <mergeCell ref="D184:F184"/>
    <mergeCell ref="D185:F185"/>
    <mergeCell ref="D186:F186"/>
    <mergeCell ref="D187:F187"/>
    <mergeCell ref="D176:F176"/>
    <mergeCell ref="D177:F177"/>
    <mergeCell ref="D178:F178"/>
    <mergeCell ref="D179:F179"/>
    <mergeCell ref="D180:F180"/>
    <mergeCell ref="D181:F181"/>
    <mergeCell ref="D194:F194"/>
    <mergeCell ref="D195:F195"/>
    <mergeCell ref="D196:F196"/>
    <mergeCell ref="D197:F197"/>
    <mergeCell ref="D198:F198"/>
    <mergeCell ref="D199:F199"/>
    <mergeCell ref="D188:F188"/>
    <mergeCell ref="D189:F189"/>
    <mergeCell ref="D190:F190"/>
    <mergeCell ref="D191:F191"/>
    <mergeCell ref="D192:F192"/>
    <mergeCell ref="D193:F193"/>
    <mergeCell ref="D206:F206"/>
    <mergeCell ref="D207:F207"/>
    <mergeCell ref="D208:F208"/>
    <mergeCell ref="D209:F209"/>
    <mergeCell ref="D210:F210"/>
    <mergeCell ref="D211:F211"/>
    <mergeCell ref="D200:F200"/>
    <mergeCell ref="D201:F201"/>
    <mergeCell ref="D202:F202"/>
    <mergeCell ref="D203:F203"/>
    <mergeCell ref="D204:F204"/>
    <mergeCell ref="D205:F205"/>
    <mergeCell ref="D323:F323"/>
    <mergeCell ref="C327:P327"/>
    <mergeCell ref="C328:P328"/>
    <mergeCell ref="D234:F234"/>
    <mergeCell ref="D235:F235"/>
    <mergeCell ref="D236:F236"/>
    <mergeCell ref="D237:F237"/>
    <mergeCell ref="D258:F258"/>
    <mergeCell ref="D259:F259"/>
    <mergeCell ref="D260:F260"/>
    <mergeCell ref="D261:F261"/>
    <mergeCell ref="D250:F250"/>
    <mergeCell ref="D251:F251"/>
    <mergeCell ref="D252:F252"/>
    <mergeCell ref="D253:F253"/>
    <mergeCell ref="D254:F254"/>
    <mergeCell ref="D255:F255"/>
    <mergeCell ref="D262:F262"/>
    <mergeCell ref="D263:F263"/>
    <mergeCell ref="D264:F264"/>
    <mergeCell ref="D265:F265"/>
    <mergeCell ref="D318:F318"/>
    <mergeCell ref="D319:F319"/>
    <mergeCell ref="D320:F320"/>
    <mergeCell ref="C329:P329"/>
    <mergeCell ref="C330:P330"/>
    <mergeCell ref="C331:P331"/>
    <mergeCell ref="D227:F227"/>
    <mergeCell ref="D228:F228"/>
    <mergeCell ref="D229:F229"/>
    <mergeCell ref="D230:F230"/>
    <mergeCell ref="D231:F231"/>
    <mergeCell ref="D232:F232"/>
    <mergeCell ref="D233:F233"/>
    <mergeCell ref="D244:F244"/>
    <mergeCell ref="D245:F245"/>
    <mergeCell ref="D246:F246"/>
    <mergeCell ref="D247:F247"/>
    <mergeCell ref="D248:F248"/>
    <mergeCell ref="D249:F249"/>
    <mergeCell ref="D238:F238"/>
    <mergeCell ref="D239:F239"/>
    <mergeCell ref="D240:F240"/>
    <mergeCell ref="D241:F241"/>
    <mergeCell ref="D242:F242"/>
    <mergeCell ref="D243:F243"/>
    <mergeCell ref="D256:F256"/>
    <mergeCell ref="D257:F257"/>
    <mergeCell ref="D277:F277"/>
    <mergeCell ref="D283:F283"/>
    <mergeCell ref="D284:F284"/>
    <mergeCell ref="D285:F285"/>
    <mergeCell ref="D286:F286"/>
    <mergeCell ref="D287:F287"/>
    <mergeCell ref="D288:F288"/>
    <mergeCell ref="D266:F266"/>
    <mergeCell ref="D267:F267"/>
    <mergeCell ref="D268:F268"/>
    <mergeCell ref="D269:F269"/>
    <mergeCell ref="D270:F270"/>
    <mergeCell ref="D271:F271"/>
    <mergeCell ref="D272:F272"/>
    <mergeCell ref="D273:F273"/>
    <mergeCell ref="D274:F274"/>
    <mergeCell ref="D36:F36"/>
    <mergeCell ref="D99:F99"/>
    <mergeCell ref="D100:F100"/>
    <mergeCell ref="D101:F101"/>
    <mergeCell ref="D102:F102"/>
    <mergeCell ref="D103:F103"/>
    <mergeCell ref="D104:F104"/>
    <mergeCell ref="D275:F275"/>
    <mergeCell ref="D276:F276"/>
    <mergeCell ref="D224:F224"/>
    <mergeCell ref="D225:F225"/>
    <mergeCell ref="D226:F226"/>
    <mergeCell ref="D218:F218"/>
    <mergeCell ref="D219:F219"/>
    <mergeCell ref="D220:F220"/>
    <mergeCell ref="D221:F221"/>
    <mergeCell ref="D222:F222"/>
    <mergeCell ref="D223:F223"/>
    <mergeCell ref="D212:F212"/>
    <mergeCell ref="D213:F213"/>
    <mergeCell ref="D214:F214"/>
    <mergeCell ref="D215:F215"/>
    <mergeCell ref="D216:F216"/>
    <mergeCell ref="D217:F217"/>
  </mergeCells>
  <phoneticPr fontId="69" type="noConversion"/>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31"/>
  <sheetViews>
    <sheetView topLeftCell="A13" workbookViewId="0">
      <selection activeCell="E26" sqref="E26"/>
    </sheetView>
  </sheetViews>
  <sheetFormatPr defaultRowHeight="12.75" x14ac:dyDescent="0.2"/>
  <cols>
    <col min="3" max="3" width="36.5703125" customWidth="1"/>
    <col min="4" max="4" width="14" bestFit="1" customWidth="1"/>
    <col min="5" max="5" width="11.42578125" customWidth="1"/>
    <col min="7" max="7" width="0.28515625" customWidth="1"/>
    <col min="8" max="8" width="0.140625" customWidth="1"/>
    <col min="9" max="9" width="38.28515625" hidden="1" customWidth="1"/>
    <col min="10" max="10" width="8" hidden="1" customWidth="1"/>
    <col min="11" max="12" width="8.85546875" hidden="1" customWidth="1"/>
    <col min="13" max="13" width="1.7109375" hidden="1" customWidth="1"/>
    <col min="14" max="15" width="8.85546875" hidden="1" customWidth="1"/>
  </cols>
  <sheetData>
    <row r="1" spans="1:14" ht="13.5" thickBot="1" x14ac:dyDescent="0.25"/>
    <row r="2" spans="1:14" ht="15" x14ac:dyDescent="0.25">
      <c r="B2" s="566" t="s">
        <v>2090</v>
      </c>
      <c r="C2" s="566"/>
      <c r="D2" s="566"/>
      <c r="E2" s="566"/>
      <c r="M2" s="321"/>
      <c r="N2" s="322"/>
    </row>
    <row r="3" spans="1:14" ht="13.5" thickBot="1" x14ac:dyDescent="0.25"/>
    <row r="4" spans="1:14" x14ac:dyDescent="0.2">
      <c r="A4" s="323"/>
      <c r="B4" s="567" t="s">
        <v>2091</v>
      </c>
      <c r="C4" s="569" t="s">
        <v>2092</v>
      </c>
      <c r="D4" s="324" t="s">
        <v>67</v>
      </c>
      <c r="E4" s="325" t="s">
        <v>67</v>
      </c>
      <c r="F4" s="326"/>
      <c r="G4" s="327"/>
      <c r="M4" s="328"/>
      <c r="N4" s="329"/>
    </row>
    <row r="5" spans="1:14" ht="13.5" thickBot="1" x14ac:dyDescent="0.25">
      <c r="A5" s="323"/>
      <c r="B5" s="568"/>
      <c r="C5" s="570"/>
      <c r="D5" s="330" t="s">
        <v>2093</v>
      </c>
      <c r="E5" s="331" t="s">
        <v>2094</v>
      </c>
      <c r="F5" s="326"/>
      <c r="G5" s="327"/>
      <c r="M5" s="332"/>
      <c r="N5" s="333"/>
    </row>
    <row r="6" spans="1:14" x14ac:dyDescent="0.2">
      <c r="A6" s="323"/>
      <c r="B6" s="334"/>
      <c r="C6" s="335"/>
      <c r="D6" s="336"/>
      <c r="E6" s="337"/>
      <c r="F6" s="326"/>
      <c r="G6" s="327"/>
      <c r="M6" s="332"/>
      <c r="N6" s="333"/>
    </row>
    <row r="7" spans="1:14" x14ac:dyDescent="0.2">
      <c r="A7" s="323"/>
      <c r="B7" s="338">
        <v>1</v>
      </c>
      <c r="C7" s="339" t="s">
        <v>2095</v>
      </c>
      <c r="D7" s="340" t="s">
        <v>2096</v>
      </c>
      <c r="E7" s="341">
        <v>4</v>
      </c>
      <c r="F7" s="342"/>
      <c r="G7" s="343"/>
      <c r="M7" s="332"/>
      <c r="N7" s="333"/>
    </row>
    <row r="8" spans="1:14" x14ac:dyDescent="0.2">
      <c r="A8" s="323"/>
      <c r="B8" s="344" t="s">
        <v>20</v>
      </c>
      <c r="C8" s="345" t="s">
        <v>2097</v>
      </c>
      <c r="D8" s="346" t="s">
        <v>2096</v>
      </c>
      <c r="E8" s="347" t="s">
        <v>2096</v>
      </c>
      <c r="F8" s="348"/>
      <c r="G8" s="323"/>
      <c r="M8" s="332"/>
      <c r="N8" s="333"/>
    </row>
    <row r="9" spans="1:14" x14ac:dyDescent="0.2">
      <c r="A9" s="323"/>
      <c r="B9" s="344" t="s">
        <v>21</v>
      </c>
      <c r="C9" s="345" t="s">
        <v>2098</v>
      </c>
      <c r="D9" s="346" t="s">
        <v>2096</v>
      </c>
      <c r="E9" s="347" t="s">
        <v>2096</v>
      </c>
      <c r="F9" s="348"/>
      <c r="G9" s="323"/>
      <c r="M9" s="332"/>
      <c r="N9" s="333"/>
    </row>
    <row r="10" spans="1:14" x14ac:dyDescent="0.2">
      <c r="A10" s="323"/>
      <c r="B10" s="344" t="s">
        <v>70</v>
      </c>
      <c r="C10" s="345" t="s">
        <v>2099</v>
      </c>
      <c r="D10" s="346" t="s">
        <v>2096</v>
      </c>
      <c r="E10" s="347" t="s">
        <v>2096</v>
      </c>
      <c r="F10" s="348"/>
      <c r="G10" s="323"/>
      <c r="M10" s="332"/>
      <c r="N10" s="333"/>
    </row>
    <row r="11" spans="1:14" x14ac:dyDescent="0.2">
      <c r="A11" s="323"/>
      <c r="B11" s="349" t="s">
        <v>2096</v>
      </c>
      <c r="C11" s="345" t="s">
        <v>2096</v>
      </c>
      <c r="D11" s="346" t="s">
        <v>2096</v>
      </c>
      <c r="E11" s="347" t="s">
        <v>2096</v>
      </c>
      <c r="F11" s="348"/>
      <c r="G11" s="323"/>
      <c r="M11" s="332"/>
      <c r="N11" s="333"/>
    </row>
    <row r="12" spans="1:14" x14ac:dyDescent="0.2">
      <c r="A12" s="323"/>
      <c r="B12" s="338">
        <v>2</v>
      </c>
      <c r="C12" s="339" t="s">
        <v>2100</v>
      </c>
      <c r="D12" s="350">
        <f>SUM(D13:D15)</f>
        <v>8.65</v>
      </c>
      <c r="E12" s="351"/>
      <c r="F12" s="348"/>
      <c r="G12" s="343"/>
      <c r="M12" s="332"/>
      <c r="N12" s="333"/>
    </row>
    <row r="13" spans="1:14" x14ac:dyDescent="0.2">
      <c r="A13" s="323"/>
      <c r="B13" s="344" t="s">
        <v>22</v>
      </c>
      <c r="C13" s="352" t="s">
        <v>2101</v>
      </c>
      <c r="D13" s="346">
        <v>5</v>
      </c>
      <c r="E13" s="347"/>
      <c r="F13" s="348"/>
      <c r="G13" s="323"/>
      <c r="M13" s="332"/>
      <c r="N13" s="333"/>
    </row>
    <row r="14" spans="1:14" ht="13.5" thickBot="1" x14ac:dyDescent="0.25">
      <c r="A14" s="323"/>
      <c r="B14" s="344" t="s">
        <v>2102</v>
      </c>
      <c r="C14" s="345" t="s">
        <v>2103</v>
      </c>
      <c r="D14" s="346">
        <v>0.65</v>
      </c>
      <c r="E14" s="347"/>
      <c r="F14" s="348"/>
      <c r="G14" s="323"/>
      <c r="M14" s="353"/>
      <c r="N14" s="354"/>
    </row>
    <row r="15" spans="1:14" x14ac:dyDescent="0.2">
      <c r="A15" s="323"/>
      <c r="B15" s="344" t="s">
        <v>2104</v>
      </c>
      <c r="C15" s="345" t="s">
        <v>2105</v>
      </c>
      <c r="D15" s="355">
        <v>3</v>
      </c>
      <c r="E15" s="347"/>
      <c r="F15" s="348"/>
      <c r="G15" s="356"/>
    </row>
    <row r="16" spans="1:14" x14ac:dyDescent="0.2">
      <c r="A16" s="323"/>
      <c r="B16" s="349"/>
      <c r="C16" s="345"/>
      <c r="D16" s="346"/>
      <c r="E16" s="347"/>
      <c r="F16" s="348"/>
      <c r="G16" s="343"/>
    </row>
    <row r="17" spans="1:7" x14ac:dyDescent="0.2">
      <c r="A17" s="323"/>
      <c r="B17" s="338">
        <v>3</v>
      </c>
      <c r="C17" s="339" t="s">
        <v>2106</v>
      </c>
      <c r="D17" s="357" t="s">
        <v>2096</v>
      </c>
      <c r="E17" s="351">
        <f>SUM(E18:E20)</f>
        <v>2.4700000000000002</v>
      </c>
      <c r="F17" s="348"/>
      <c r="G17" s="343"/>
    </row>
    <row r="18" spans="1:7" x14ac:dyDescent="0.2">
      <c r="A18" s="323"/>
      <c r="B18" s="344" t="s">
        <v>249</v>
      </c>
      <c r="C18" s="345" t="s">
        <v>2107</v>
      </c>
      <c r="D18" s="346"/>
      <c r="E18" s="347">
        <v>0.8</v>
      </c>
      <c r="F18" s="348"/>
      <c r="G18" s="343"/>
    </row>
    <row r="19" spans="1:7" x14ac:dyDescent="0.2">
      <c r="A19" s="323"/>
      <c r="B19" s="344" t="s">
        <v>546</v>
      </c>
      <c r="C19" s="345" t="s">
        <v>2108</v>
      </c>
      <c r="D19" s="346"/>
      <c r="E19" s="347">
        <v>1.27</v>
      </c>
      <c r="F19" s="348"/>
      <c r="G19" s="343"/>
    </row>
    <row r="20" spans="1:7" x14ac:dyDescent="0.2">
      <c r="A20" s="323"/>
      <c r="B20" s="344" t="s">
        <v>546</v>
      </c>
      <c r="C20" s="345" t="s">
        <v>2109</v>
      </c>
      <c r="D20" s="346"/>
      <c r="E20" s="347">
        <v>0.4</v>
      </c>
      <c r="F20" s="348"/>
      <c r="G20" s="343"/>
    </row>
    <row r="21" spans="1:7" x14ac:dyDescent="0.2">
      <c r="A21" s="323"/>
      <c r="B21" s="349"/>
      <c r="C21" s="345"/>
      <c r="D21" s="346"/>
      <c r="E21" s="347"/>
      <c r="F21" s="348"/>
      <c r="G21" s="343"/>
    </row>
    <row r="22" spans="1:7" x14ac:dyDescent="0.2">
      <c r="A22" s="323"/>
      <c r="B22" s="338">
        <v>4</v>
      </c>
      <c r="C22" s="339" t="s">
        <v>2110</v>
      </c>
      <c r="D22" s="357" t="s">
        <v>2096</v>
      </c>
      <c r="E22" s="351">
        <v>1.23</v>
      </c>
      <c r="F22" s="348"/>
      <c r="G22" s="343"/>
    </row>
    <row r="23" spans="1:7" x14ac:dyDescent="0.2">
      <c r="A23" s="323"/>
      <c r="B23" s="349"/>
      <c r="C23" s="345"/>
      <c r="D23" s="346"/>
      <c r="E23" s="347"/>
      <c r="F23" s="348"/>
      <c r="G23" s="343"/>
    </row>
    <row r="24" spans="1:7" x14ac:dyDescent="0.2">
      <c r="A24" s="323"/>
      <c r="B24" s="338">
        <v>5</v>
      </c>
      <c r="C24" s="339" t="s">
        <v>2111</v>
      </c>
      <c r="D24" s="358"/>
      <c r="E24" s="351">
        <v>10</v>
      </c>
      <c r="F24" s="348"/>
      <c r="G24" s="343"/>
    </row>
    <row r="25" spans="1:7" ht="13.5" thickBot="1" x14ac:dyDescent="0.25">
      <c r="A25" s="323"/>
      <c r="B25" s="349"/>
      <c r="C25" s="345"/>
      <c r="D25" s="359"/>
      <c r="E25" s="360"/>
      <c r="F25" s="348"/>
      <c r="G25" s="323"/>
    </row>
    <row r="26" spans="1:7" ht="13.5" thickBot="1" x14ac:dyDescent="0.25">
      <c r="A26" s="323"/>
      <c r="B26" s="361" t="s">
        <v>2096</v>
      </c>
      <c r="C26" s="362" t="s">
        <v>2112</v>
      </c>
      <c r="D26" s="363" t="s">
        <v>2096</v>
      </c>
      <c r="E26" s="364">
        <f>ROUND((((1+(E7%+E18%+E19%+E20%))*(1+E22%)*(1+E24%)/(1-D12%))-(1))*100,2)</f>
        <v>29.78</v>
      </c>
      <c r="F26" s="348"/>
      <c r="G26" s="343"/>
    </row>
    <row r="27" spans="1:7" x14ac:dyDescent="0.2">
      <c r="A27" s="323"/>
      <c r="B27" s="323"/>
      <c r="C27" s="323"/>
      <c r="D27" s="323"/>
      <c r="E27" s="323"/>
      <c r="F27" s="323"/>
      <c r="G27" s="323"/>
    </row>
    <row r="28" spans="1:7" ht="18" x14ac:dyDescent="0.2">
      <c r="A28" s="323"/>
      <c r="B28" s="365"/>
      <c r="C28" s="365"/>
      <c r="D28" s="365"/>
      <c r="E28" s="365"/>
      <c r="F28" s="365"/>
      <c r="G28" s="323"/>
    </row>
    <row r="29" spans="1:7" ht="18" x14ac:dyDescent="0.2">
      <c r="A29" s="323"/>
      <c r="B29" s="571" t="s">
        <v>2113</v>
      </c>
      <c r="C29" s="571"/>
      <c r="D29" s="371"/>
      <c r="E29" s="323"/>
      <c r="F29" s="323"/>
      <c r="G29" s="323"/>
    </row>
    <row r="30" spans="1:7" x14ac:dyDescent="0.2">
      <c r="A30" s="323"/>
      <c r="B30" s="572" t="s">
        <v>2096</v>
      </c>
      <c r="C30" s="572"/>
      <c r="D30" s="323"/>
      <c r="E30" s="323"/>
      <c r="F30" s="323"/>
      <c r="G30" s="323"/>
    </row>
    <row r="31" spans="1:7" ht="15.75" x14ac:dyDescent="0.2">
      <c r="A31" s="323"/>
      <c r="B31" s="366" t="s">
        <v>2114</v>
      </c>
      <c r="C31" s="323"/>
      <c r="D31" s="323"/>
      <c r="E31" s="323"/>
      <c r="F31" s="323"/>
      <c r="G31" s="323"/>
    </row>
  </sheetData>
  <mergeCells count="5">
    <mergeCell ref="B2:E2"/>
    <mergeCell ref="B4:B5"/>
    <mergeCell ref="C4:C5"/>
    <mergeCell ref="B29:C29"/>
    <mergeCell ref="B30:C30"/>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7"/>
  <sheetViews>
    <sheetView workbookViewId="0"/>
  </sheetViews>
  <sheetFormatPr defaultRowHeight="12.75" x14ac:dyDescent="0.2"/>
  <sheetData>
    <row r="3" spans="2:2" x14ac:dyDescent="0.2">
      <c r="B3">
        <v>4.8</v>
      </c>
    </row>
    <row r="4" spans="2:2" x14ac:dyDescent="0.2">
      <c r="B4">
        <v>4.8</v>
      </c>
    </row>
    <row r="5" spans="2:2" x14ac:dyDescent="0.2">
      <c r="B5">
        <v>3</v>
      </c>
    </row>
    <row r="6" spans="2:2" x14ac:dyDescent="0.2">
      <c r="B6">
        <v>0.125</v>
      </c>
    </row>
    <row r="7" spans="2:2" x14ac:dyDescent="0.2">
      <c r="B7">
        <f>SUM(B3:B6)</f>
        <v>12.725</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E3"/>
  <sheetViews>
    <sheetView workbookViewId="0"/>
  </sheetViews>
  <sheetFormatPr defaultRowHeight="12.75" x14ac:dyDescent="0.2"/>
  <sheetData>
    <row r="3" spans="4:5" x14ac:dyDescent="0.2">
      <c r="D3">
        <f>2.25*1</f>
        <v>2.25</v>
      </c>
      <c r="E3">
        <f>54/D3</f>
        <v>24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4</vt:i4>
      </vt:variant>
    </vt:vector>
  </HeadingPairs>
  <TitlesOfParts>
    <vt:vector size="12" baseType="lpstr">
      <vt:lpstr>Planilha</vt:lpstr>
      <vt:lpstr>Fontes</vt:lpstr>
      <vt:lpstr>CPU</vt:lpstr>
      <vt:lpstr>Mapas</vt:lpstr>
      <vt:lpstr>MapasEqtos</vt:lpstr>
      <vt:lpstr>BDI</vt:lpstr>
      <vt:lpstr>Plan3</vt:lpstr>
      <vt:lpstr>Plan1</vt:lpstr>
      <vt:lpstr>CPU!Area_de_impressao</vt:lpstr>
      <vt:lpstr>Mapas!Area_de_impressao</vt:lpstr>
      <vt:lpstr>Planilha!Area_de_impressao</vt:lpstr>
      <vt:lpstr>Planilha!Titulos_de_impressao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Paulo André Silva Campos</cp:lastModifiedBy>
  <cp:lastPrinted>2026-05-03T13:23:19Z</cp:lastPrinted>
  <dcterms:created xsi:type="dcterms:W3CDTF">1997-01-10T22:22:50Z</dcterms:created>
  <dcterms:modified xsi:type="dcterms:W3CDTF">2026-05-21T14:54:50Z</dcterms:modified>
</cp:coreProperties>
</file>